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75" windowWidth="10335" windowHeight="11400"/>
  </bookViews>
  <sheets>
    <sheet name="отчет за 2018г" sheetId="1" r:id="rId1"/>
    <sheet name="1 кв" sheetId="2" r:id="rId2"/>
    <sheet name="2 кв" sheetId="3" r:id="rId3"/>
  </sheets>
  <calcPr calcId="145621" calcOnSave="0"/>
</workbook>
</file>

<file path=xl/calcChain.xml><?xml version="1.0" encoding="utf-8"?>
<calcChain xmlns="http://schemas.openxmlformats.org/spreadsheetml/2006/main">
  <c r="F14" i="1" l="1"/>
  <c r="F7" i="1"/>
  <c r="P14" i="1" l="1"/>
  <c r="J14" i="1"/>
  <c r="P7" i="1"/>
  <c r="J7" i="1"/>
  <c r="P55" i="1" l="1"/>
  <c r="Q33" i="1"/>
  <c r="Q38" i="1"/>
  <c r="Q14" i="1"/>
  <c r="Q15" i="1"/>
  <c r="Q10" i="1"/>
  <c r="P10" i="1" l="1"/>
  <c r="P69" i="1" s="1"/>
  <c r="R39" i="1"/>
  <c r="D39" i="1" s="1"/>
  <c r="R44" i="1"/>
  <c r="D44" i="1" s="1"/>
  <c r="R47" i="1"/>
  <c r="D47" i="1" s="1"/>
  <c r="R55" i="1"/>
  <c r="D55" i="1" s="1"/>
  <c r="R59" i="1"/>
  <c r="D59" i="1" s="1"/>
  <c r="R60" i="1"/>
  <c r="D60" i="1" s="1"/>
  <c r="O14" i="1"/>
  <c r="O26" i="1"/>
  <c r="O63" i="1"/>
  <c r="O45" i="1"/>
  <c r="O53" i="1"/>
  <c r="O40" i="1"/>
  <c r="O20" i="1"/>
  <c r="O10" i="1"/>
  <c r="R36" i="1"/>
  <c r="D36" i="1" s="1"/>
  <c r="R46" i="1"/>
  <c r="D46" i="1" s="1"/>
  <c r="R54" i="1"/>
  <c r="D54" i="1" s="1"/>
  <c r="O58" i="1"/>
  <c r="Q69" i="1" l="1"/>
  <c r="O69" i="1"/>
  <c r="N40" i="1" l="1"/>
  <c r="N45" i="1"/>
  <c r="N63" i="1"/>
  <c r="R11" i="1"/>
  <c r="R13" i="1"/>
  <c r="R15" i="1"/>
  <c r="R16" i="1"/>
  <c r="R17" i="1"/>
  <c r="R21" i="1"/>
  <c r="R22" i="1"/>
  <c r="R24" i="1"/>
  <c r="R26" i="1"/>
  <c r="R27" i="1"/>
  <c r="R28" i="1"/>
  <c r="R29" i="1"/>
  <c r="R30" i="1"/>
  <c r="R32" i="1"/>
  <c r="R35" i="1"/>
  <c r="R38" i="1"/>
  <c r="R43" i="1"/>
  <c r="R50" i="1"/>
  <c r="R51" i="1"/>
  <c r="R52" i="1"/>
  <c r="R56" i="1"/>
  <c r="R65" i="1"/>
  <c r="R66" i="1"/>
  <c r="R67" i="1"/>
  <c r="N10" i="1" l="1"/>
  <c r="N69" i="1" s="1"/>
  <c r="D32" i="1" l="1"/>
  <c r="E32" i="1" s="1"/>
  <c r="M14" i="1" l="1"/>
  <c r="L62" i="1" l="1"/>
  <c r="L14" i="1"/>
  <c r="L12" i="1" l="1"/>
  <c r="R12" i="1" s="1"/>
  <c r="L63" i="1"/>
  <c r="D56" i="1"/>
  <c r="L33" i="1"/>
  <c r="L64" i="1"/>
  <c r="M10" i="1"/>
  <c r="M69" i="1" s="1"/>
  <c r="L10" i="1"/>
  <c r="K64" i="1" l="1"/>
  <c r="R64" i="1" s="1"/>
  <c r="G37" i="1"/>
  <c r="F45" i="1"/>
  <c r="R45" i="1" s="1"/>
  <c r="F40" i="1"/>
  <c r="F41" i="1"/>
  <c r="F34" i="1"/>
  <c r="R34" i="1" s="1"/>
  <c r="F21" i="3" l="1"/>
  <c r="E52" i="3"/>
  <c r="D51" i="3"/>
  <c r="C51" i="3"/>
  <c r="L40" i="1"/>
  <c r="L41" i="1"/>
  <c r="R41" i="1" s="1"/>
  <c r="L42" i="1"/>
  <c r="R42" i="1" s="1"/>
  <c r="F48" i="3"/>
  <c r="C48" i="3"/>
  <c r="D44" i="3"/>
  <c r="D48" i="3"/>
  <c r="D47" i="3"/>
  <c r="C20" i="3"/>
  <c r="D18" i="3"/>
  <c r="D12" i="3"/>
  <c r="E25" i="2"/>
  <c r="C24" i="2"/>
  <c r="C20" i="2"/>
  <c r="F5" i="2" s="1"/>
  <c r="F20" i="2" s="1"/>
  <c r="D20" i="2"/>
  <c r="D24" i="2" s="1"/>
  <c r="D12" i="2"/>
  <c r="D18" i="2"/>
  <c r="L69" i="1" l="1"/>
  <c r="R40" i="1"/>
  <c r="D20" i="3"/>
  <c r="F5" i="3" l="1"/>
  <c r="F20" i="3" s="1"/>
  <c r="I14" i="1" l="1"/>
  <c r="R14" i="1" s="1"/>
  <c r="D43" i="1"/>
  <c r="D41" i="1"/>
  <c r="D42" i="1"/>
  <c r="K20" i="1"/>
  <c r="K62" i="1"/>
  <c r="D65" i="1"/>
  <c r="D66" i="1"/>
  <c r="D64" i="1"/>
  <c r="K63" i="1"/>
  <c r="K49" i="1"/>
  <c r="K10" i="1"/>
  <c r="R10" i="1" s="1"/>
  <c r="J63" i="1"/>
  <c r="K53" i="1"/>
  <c r="J33" i="1"/>
  <c r="J37" i="1"/>
  <c r="J19" i="1"/>
  <c r="I33" i="1"/>
  <c r="I58" i="1"/>
  <c r="R58" i="1" s="1"/>
  <c r="D27" i="1"/>
  <c r="I53" i="1"/>
  <c r="I49" i="1"/>
  <c r="R49" i="1" s="1"/>
  <c r="I62" i="1"/>
  <c r="D38" i="1"/>
  <c r="H20" i="1"/>
  <c r="D35" i="1"/>
  <c r="G19" i="1"/>
  <c r="F19" i="1"/>
  <c r="R19" i="1" s="1"/>
  <c r="G33" i="1"/>
  <c r="G20" i="1"/>
  <c r="R20" i="1" s="1"/>
  <c r="F48" i="1"/>
  <c r="R48" i="1" s="1"/>
  <c r="I7" i="1"/>
  <c r="R7" i="1" s="1"/>
  <c r="R62" i="1" l="1"/>
  <c r="R37" i="1"/>
  <c r="D37" i="1" s="1"/>
  <c r="R33" i="1"/>
  <c r="R53" i="1"/>
  <c r="R63" i="1"/>
  <c r="D63" i="1"/>
  <c r="J69" i="1"/>
  <c r="K69" i="1"/>
  <c r="H69" i="1"/>
  <c r="I69" i="1"/>
  <c r="D21" i="1"/>
  <c r="G69" i="1"/>
  <c r="F69" i="1"/>
  <c r="R69" i="1" s="1"/>
  <c r="D24" i="1" l="1"/>
  <c r="E24" i="1" s="1"/>
  <c r="C13" i="1" l="1"/>
  <c r="C69" i="1" s="1"/>
  <c r="D67" i="1" l="1"/>
  <c r="D52" i="1"/>
  <c r="D49" i="1"/>
  <c r="D50" i="1"/>
  <c r="D29" i="1" l="1"/>
  <c r="D7" i="1" l="1"/>
  <c r="D8" i="1" s="1"/>
  <c r="D15" i="1" l="1"/>
  <c r="D53" i="1"/>
  <c r="D26" i="1"/>
  <c r="D28" i="1" s="1"/>
  <c r="D19" i="1"/>
  <c r="E19" i="1" s="1"/>
  <c r="D17" i="1"/>
  <c r="D22" i="1"/>
  <c r="D58" i="1"/>
  <c r="E25" i="1" l="1"/>
  <c r="D45" i="1"/>
  <c r="D40" i="1" l="1"/>
  <c r="D11" i="1" l="1"/>
  <c r="D16" i="1"/>
  <c r="E29" i="1"/>
  <c r="D48" i="1"/>
  <c r="D20" i="1"/>
  <c r="E15" i="1"/>
  <c r="R5" i="1"/>
  <c r="R8" i="1" s="1"/>
  <c r="R9" i="1"/>
  <c r="D23" i="1" l="1"/>
  <c r="E20" i="1" s="1"/>
  <c r="E16" i="1"/>
  <c r="D18" i="1"/>
  <c r="D51" i="1"/>
  <c r="D12" i="1"/>
  <c r="D10" i="1"/>
  <c r="D13" i="1" s="1"/>
  <c r="D34" i="1"/>
  <c r="D33" i="1"/>
  <c r="D57" i="1" s="1"/>
  <c r="D30" i="1"/>
  <c r="E30" i="1" s="1"/>
  <c r="D62" i="1"/>
  <c r="D68" i="1" s="1"/>
  <c r="D14" i="1"/>
  <c r="E33" i="1" l="1"/>
  <c r="E14" i="1"/>
  <c r="E58" i="1"/>
  <c r="D69" i="1" l="1"/>
  <c r="D70" i="1" s="1"/>
  <c r="E10" i="1"/>
</calcChain>
</file>

<file path=xl/sharedStrings.xml><?xml version="1.0" encoding="utf-8"?>
<sst xmlns="http://schemas.openxmlformats.org/spreadsheetml/2006/main" count="199" uniqueCount="131">
  <si>
    <t>ПОСТУПЛЕНИЯ:</t>
  </si>
  <si>
    <t>ВСЕГО ДОХОДЫ:</t>
  </si>
  <si>
    <t>СТАТЬИ РАСХОДА</t>
  </si>
  <si>
    <t>Налоговые отчисления с ФОТ</t>
  </si>
  <si>
    <t>Пожертвования родителей :    через банк</t>
  </si>
  <si>
    <t>НО"ФОНД РАЗВИТИЯ МОУ "ГИМНАЗИЯ №44"</t>
  </si>
  <si>
    <t>Директор Фонда</t>
  </si>
  <si>
    <t xml:space="preserve">Бухгалтер Фонда </t>
  </si>
  <si>
    <t>Савинова С.П.</t>
  </si>
  <si>
    <t>по факту</t>
  </si>
  <si>
    <t>Подготовка материалов к конкурсам, ярмаркам</t>
  </si>
  <si>
    <t>Оплата труда работников Фонда</t>
  </si>
  <si>
    <t>9</t>
  </si>
  <si>
    <t>март</t>
  </si>
  <si>
    <t>Всего</t>
  </si>
  <si>
    <t>Электротовары</t>
  </si>
  <si>
    <t>Сантехника, сопутствующие товары</t>
  </si>
  <si>
    <t>ОТЧЕТ ПО СМЕТЕ ОБ ИСПОЛЬЗОВАНИИ ДЕНЕЖНЫХ СРЕДСТВ</t>
  </si>
  <si>
    <t xml:space="preserve">Мелкие хозтовары </t>
  </si>
  <si>
    <t>Услуги банка, прочие налоги</t>
  </si>
  <si>
    <t>2</t>
  </si>
  <si>
    <t>3</t>
  </si>
  <si>
    <t>1</t>
  </si>
  <si>
    <t>Приобретение канц.товаров</t>
  </si>
  <si>
    <t>Комарова Е.С.</t>
  </si>
  <si>
    <t>Приобретение строительных материалов</t>
  </si>
  <si>
    <t>Текущие расходы  на содержание и ремонт гимназии</t>
  </si>
  <si>
    <t>НДФЛ</t>
  </si>
  <si>
    <t>янв</t>
  </si>
  <si>
    <t>февр</t>
  </si>
  <si>
    <t>6</t>
  </si>
  <si>
    <t>апр</t>
  </si>
  <si>
    <t>май</t>
  </si>
  <si>
    <t>июнь</t>
  </si>
  <si>
    <t>июль</t>
  </si>
  <si>
    <t>4</t>
  </si>
  <si>
    <t>Выплата стипендий учащимся</t>
  </si>
  <si>
    <t>5</t>
  </si>
  <si>
    <t>Приобретение учебной  и методической литературы</t>
  </si>
  <si>
    <t xml:space="preserve">итого </t>
  </si>
  <si>
    <t>Подписка на периодические издания</t>
  </si>
  <si>
    <t>7</t>
  </si>
  <si>
    <t>1) внеклассные мероприятия</t>
  </si>
  <si>
    <t xml:space="preserve">Посещение театра </t>
  </si>
  <si>
    <t>СУММА</t>
  </si>
  <si>
    <t xml:space="preserve">по смете </t>
  </si>
  <si>
    <t>отклонения остаток(+)/ пере расход(-)</t>
  </si>
  <si>
    <t xml:space="preserve">Работы по благоустройству тер-рии </t>
  </si>
  <si>
    <t>авг</t>
  </si>
  <si>
    <t>10</t>
  </si>
  <si>
    <t>11</t>
  </si>
  <si>
    <t>ВСЕГО РАСХОД</t>
  </si>
  <si>
    <t>Проведение учебных и внеклассных мероприятий</t>
  </si>
  <si>
    <t>Мебель  (столы, стулья)</t>
  </si>
  <si>
    <t>Лопаты д/уборки снега</t>
  </si>
  <si>
    <t>Ремонтные работы</t>
  </si>
  <si>
    <t>Вода питьевая в бут.</t>
  </si>
  <si>
    <t>Противогололедные материалы</t>
  </si>
  <si>
    <t>ЗА 2018 ГОД</t>
  </si>
  <si>
    <t>САЛЬДО НА 01.01.2018 Г.</t>
  </si>
  <si>
    <t>Пленка</t>
  </si>
  <si>
    <t>Лыжные комплекты</t>
  </si>
  <si>
    <t>Лыжные комплекты и спорт.товары</t>
  </si>
  <si>
    <t>Моющие средства</t>
  </si>
  <si>
    <t>Замена светильников</t>
  </si>
  <si>
    <t>2) микрофоны</t>
  </si>
  <si>
    <t>Монтаж ОПС</t>
  </si>
  <si>
    <t>Инвентарь д/уборки тер-рии (лопаты,грабли,ведра)</t>
  </si>
  <si>
    <t>Замена окон в спортивном зале</t>
  </si>
  <si>
    <t>Ремонт б/косы</t>
  </si>
  <si>
    <t>Моющие и дез.средства</t>
  </si>
  <si>
    <t>Сайт /хостинг/</t>
  </si>
  <si>
    <t>Компьютерные программы</t>
  </si>
  <si>
    <t>линолеум, ДВП, плинтуса</t>
  </si>
  <si>
    <t>плитка</t>
  </si>
  <si>
    <t>трубы</t>
  </si>
  <si>
    <t>умывальники</t>
  </si>
  <si>
    <t>Компьютерные товары</t>
  </si>
  <si>
    <t>ОТЧЕТ ОБ ИСПОЛЬЗОВАНИИ ДЕНЕЖНЫХ СРЕДСТВ за 2018 год</t>
  </si>
  <si>
    <t>№ пп</t>
  </si>
  <si>
    <t>Период</t>
  </si>
  <si>
    <t xml:space="preserve">Сумма привлеченных пожертвований,руб.  </t>
  </si>
  <si>
    <t>Сумма израсходованных средств, руб.</t>
  </si>
  <si>
    <t>Наименование экономической статьи (статьи сметы)</t>
  </si>
  <si>
    <t>Остаток на конец отчетного периода,руб.</t>
  </si>
  <si>
    <t>Остаток на 01. 01. 2018</t>
  </si>
  <si>
    <t xml:space="preserve">1 квартал </t>
  </si>
  <si>
    <t>Итого за 1 кв</t>
  </si>
  <si>
    <t>Итого за 2 кв</t>
  </si>
  <si>
    <t>Итого за 3 кв</t>
  </si>
  <si>
    <t>Итого за 4 кв</t>
  </si>
  <si>
    <t>ВСЕГО за год</t>
  </si>
  <si>
    <t xml:space="preserve">Остаток на 01.04.2018г.  </t>
  </si>
  <si>
    <t xml:space="preserve">Директор </t>
  </si>
  <si>
    <t xml:space="preserve">Бухгалтер </t>
  </si>
  <si>
    <t>Лампы авар.освещ.</t>
  </si>
  <si>
    <t>Хозяйственные товары</t>
  </si>
  <si>
    <t>Сантехника и сопутствующие товары</t>
  </si>
  <si>
    <t>Канцелярские товары</t>
  </si>
  <si>
    <t>Участие в конкурсах</t>
  </si>
  <si>
    <t>Внеклассные мероприятия</t>
  </si>
  <si>
    <t>Микрофоны</t>
  </si>
  <si>
    <t>Краска</t>
  </si>
  <si>
    <t>Линолеум, ДВП, плинтуса</t>
  </si>
  <si>
    <t>Обои</t>
  </si>
  <si>
    <t>Плитка</t>
  </si>
  <si>
    <t xml:space="preserve">2 квартал </t>
  </si>
  <si>
    <t xml:space="preserve">Остаток на 01.07.2018г.  </t>
  </si>
  <si>
    <t>Знаки ПБ</t>
  </si>
  <si>
    <t>краска,кисти, красители</t>
  </si>
  <si>
    <t>обои, клей</t>
  </si>
  <si>
    <t>12</t>
  </si>
  <si>
    <t>сент</t>
  </si>
  <si>
    <t>окт</t>
  </si>
  <si>
    <t>нояб</t>
  </si>
  <si>
    <t>дек</t>
  </si>
  <si>
    <t>САЛЬДО НА     01 .      01     . 2019  г.</t>
  </si>
  <si>
    <t>Замена светильников/уличных/</t>
  </si>
  <si>
    <t>Лампы д/проекторов</t>
  </si>
  <si>
    <t>Мел</t>
  </si>
  <si>
    <t>Трансформаторы</t>
  </si>
  <si>
    <t>Инструменты (эл.дрели)</t>
  </si>
  <si>
    <t>Калориферы</t>
  </si>
  <si>
    <t>в д/саду</t>
  </si>
  <si>
    <t>Баннеры</t>
  </si>
  <si>
    <t xml:space="preserve">Приобретение строительных материалов      </t>
  </si>
  <si>
    <t>цемент,штукатурка, ровнитель и тп)</t>
  </si>
  <si>
    <t>Монтаж АПС</t>
  </si>
  <si>
    <t>картрджи д/воды</t>
  </si>
  <si>
    <t>Лампы аварийного освещения</t>
  </si>
  <si>
    <r>
      <rPr>
        <b/>
        <u/>
        <sz val="11"/>
        <rFont val="Arial Cyr"/>
        <charset val="204"/>
      </rPr>
      <t xml:space="preserve">Замена окон:  </t>
    </r>
    <r>
      <rPr>
        <sz val="11"/>
        <rFont val="Arial Cyr"/>
        <charset val="204"/>
      </rPr>
      <t xml:space="preserve">                                                      </t>
    </r>
    <r>
      <rPr>
        <sz val="10"/>
        <rFont val="Arial Cyr"/>
        <charset val="204"/>
      </rPr>
      <t xml:space="preserve"> в спортивном зале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</si>
</sst>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21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3">
    <xf numFmtId="0" fontId="0" fillId="0" borderId="0" xfId="0"/>
    <xf numFmtId="2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/>
    <xf numFmtId="0" fontId="6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6" fillId="0" borderId="8" xfId="0" applyFont="1" applyBorder="1" applyAlignme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2" borderId="0" xfId="0" applyFill="1"/>
    <xf numFmtId="0" fontId="6" fillId="2" borderId="0" xfId="0" applyFont="1" applyFill="1" applyBorder="1" applyAlignment="1">
      <alignment horizontal="left" vertical="justify"/>
    </xf>
    <xf numFmtId="2" fontId="0" fillId="2" borderId="0" xfId="0" applyNumberFormat="1" applyFill="1"/>
    <xf numFmtId="2" fontId="0" fillId="2" borderId="0" xfId="0" applyNumberFormat="1" applyFill="1" applyBorder="1"/>
    <xf numFmtId="0" fontId="0" fillId="2" borderId="0" xfId="0" applyFill="1" applyBorder="1"/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3" fillId="2" borderId="0" xfId="0" applyFont="1" applyFill="1"/>
    <xf numFmtId="0" fontId="12" fillId="2" borderId="0" xfId="0" applyFont="1" applyFill="1"/>
    <xf numFmtId="0" fontId="3" fillId="2" borderId="15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2" fontId="3" fillId="2" borderId="0" xfId="0" applyNumberFormat="1" applyFont="1" applyFill="1"/>
    <xf numFmtId="2" fontId="1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right"/>
    </xf>
    <xf numFmtId="0" fontId="3" fillId="2" borderId="27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33" xfId="0" applyFont="1" applyBorder="1" applyAlignment="1">
      <alignment horizontal="center" vertical="distributed"/>
    </xf>
    <xf numFmtId="0" fontId="14" fillId="0" borderId="25" xfId="0" applyFont="1" applyBorder="1" applyAlignment="1">
      <alignment horizontal="center" vertical="distributed"/>
    </xf>
    <xf numFmtId="0" fontId="14" fillId="0" borderId="29" xfId="0" applyFont="1" applyBorder="1" applyAlignment="1">
      <alignment horizontal="center" vertical="distributed"/>
    </xf>
    <xf numFmtId="164" fontId="16" fillId="2" borderId="36" xfId="0" applyNumberFormat="1" applyFont="1" applyFill="1" applyBorder="1" applyAlignment="1">
      <alignment horizontal="left"/>
    </xf>
    <xf numFmtId="164" fontId="16" fillId="2" borderId="32" xfId="0" applyNumberFormat="1" applyFont="1" applyFill="1" applyBorder="1" applyAlignment="1"/>
    <xf numFmtId="164" fontId="16" fillId="0" borderId="28" xfId="0" applyNumberFormat="1" applyFont="1" applyBorder="1" applyAlignment="1">
      <alignment horizontal="center"/>
    </xf>
    <xf numFmtId="164" fontId="16" fillId="0" borderId="22" xfId="0" applyNumberFormat="1" applyFont="1" applyBorder="1" applyAlignment="1"/>
    <xf numFmtId="43" fontId="14" fillId="0" borderId="22" xfId="0" applyNumberFormat="1" applyFont="1" applyBorder="1" applyAlignment="1">
      <alignment horizontal="center"/>
    </xf>
    <xf numFmtId="43" fontId="16" fillId="2" borderId="39" xfId="0" applyNumberFormat="1" applyFont="1" applyFill="1" applyBorder="1" applyAlignment="1">
      <alignment horizontal="center"/>
    </xf>
    <xf numFmtId="43" fontId="16" fillId="0" borderId="22" xfId="0" applyNumberFormat="1" applyFont="1" applyBorder="1" applyAlignment="1">
      <alignment horizontal="center"/>
    </xf>
    <xf numFmtId="43" fontId="16" fillId="2" borderId="12" xfId="0" applyNumberFormat="1" applyFont="1" applyFill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164" fontId="16" fillId="0" borderId="25" xfId="0" applyNumberFormat="1" applyFont="1" applyBorder="1" applyAlignment="1"/>
    <xf numFmtId="43" fontId="16" fillId="0" borderId="25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4" fillId="2" borderId="0" xfId="0" applyFont="1" applyFill="1"/>
    <xf numFmtId="0" fontId="16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6" fillId="2" borderId="37" xfId="0" applyFont="1" applyFill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0" xfId="0" applyBorder="1"/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justify"/>
    </xf>
    <xf numFmtId="0" fontId="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64" fontId="16" fillId="2" borderId="22" xfId="1" applyNumberFormat="1" applyFont="1" applyFill="1" applyBorder="1" applyAlignment="1">
      <alignment horizontal="center"/>
    </xf>
    <xf numFmtId="43" fontId="16" fillId="0" borderId="39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left" vertical="justify"/>
    </xf>
    <xf numFmtId="0" fontId="5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justify"/>
    </xf>
    <xf numFmtId="0" fontId="5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 vertical="distributed"/>
    </xf>
    <xf numFmtId="0" fontId="20" fillId="0" borderId="17" xfId="0" applyFont="1" applyBorder="1" applyAlignment="1">
      <alignment horizontal="left" vertical="justify"/>
    </xf>
    <xf numFmtId="43" fontId="16" fillId="2" borderId="3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6" fillId="2" borderId="1" xfId="0" applyFont="1" applyFill="1" applyBorder="1" applyAlignment="1">
      <alignment horizontal="right"/>
    </xf>
    <xf numFmtId="2" fontId="16" fillId="0" borderId="25" xfId="0" applyNumberFormat="1" applyFont="1" applyBorder="1" applyAlignment="1">
      <alignment horizontal="center"/>
    </xf>
    <xf numFmtId="0" fontId="0" fillId="0" borderId="23" xfId="0" applyBorder="1"/>
    <xf numFmtId="0" fontId="0" fillId="0" borderId="12" xfId="0" applyBorder="1"/>
    <xf numFmtId="0" fontId="16" fillId="0" borderId="23" xfId="0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0" fontId="0" fillId="0" borderId="37" xfId="0" applyBorder="1"/>
    <xf numFmtId="43" fontId="16" fillId="0" borderId="0" xfId="0" applyNumberFormat="1" applyFont="1" applyBorder="1" applyAlignment="1"/>
    <xf numFmtId="0" fontId="18" fillId="0" borderId="33" xfId="0" applyFont="1" applyBorder="1" applyAlignment="1">
      <alignment horizontal="center" vertical="distributed"/>
    </xf>
    <xf numFmtId="0" fontId="18" fillId="0" borderId="25" xfId="0" applyFont="1" applyBorder="1" applyAlignment="1">
      <alignment horizontal="center" vertical="distributed"/>
    </xf>
    <xf numFmtId="0" fontId="18" fillId="0" borderId="29" xfId="0" applyFont="1" applyBorder="1" applyAlignment="1">
      <alignment horizontal="center" vertical="distributed"/>
    </xf>
    <xf numFmtId="164" fontId="13" fillId="2" borderId="22" xfId="1" applyNumberFormat="1" applyFont="1" applyFill="1" applyBorder="1" applyAlignment="1">
      <alignment horizontal="center"/>
    </xf>
    <xf numFmtId="43" fontId="13" fillId="0" borderId="39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43" fontId="13" fillId="0" borderId="22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164" fontId="13" fillId="0" borderId="22" xfId="0" applyNumberFormat="1" applyFont="1" applyBorder="1"/>
    <xf numFmtId="0" fontId="2" fillId="0" borderId="23" xfId="0" applyFont="1" applyBorder="1"/>
    <xf numFmtId="0" fontId="2" fillId="0" borderId="12" xfId="0" applyFont="1" applyBorder="1"/>
    <xf numFmtId="164" fontId="19" fillId="0" borderId="22" xfId="0" applyNumberFormat="1" applyFont="1" applyBorder="1" applyAlignment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justify"/>
    </xf>
    <xf numFmtId="0" fontId="10" fillId="2" borderId="0" xfId="0" applyFont="1" applyFill="1" applyBorder="1" applyAlignment="1">
      <alignment horizontal="left" vertical="justify"/>
    </xf>
    <xf numFmtId="0" fontId="10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15" xfId="0" applyFont="1" applyBorder="1" applyAlignment="1">
      <alignment horizontal="left" vertical="top" wrapText="1"/>
    </xf>
    <xf numFmtId="164" fontId="19" fillId="0" borderId="28" xfId="0" applyNumberFormat="1" applyFont="1" applyBorder="1" applyAlignment="1">
      <alignment horizontal="center"/>
    </xf>
    <xf numFmtId="43" fontId="19" fillId="2" borderId="39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5" xfId="0" applyFont="1" applyFill="1" applyBorder="1"/>
    <xf numFmtId="2" fontId="12" fillId="2" borderId="15" xfId="0" applyNumberFormat="1" applyFont="1" applyFill="1" applyBorder="1" applyAlignment="1">
      <alignment horizontal="center"/>
    </xf>
    <xf numFmtId="165" fontId="12" fillId="2" borderId="15" xfId="0" applyNumberFormat="1" applyFont="1" applyFill="1" applyBorder="1" applyAlignment="1">
      <alignment horizontal="center"/>
    </xf>
    <xf numFmtId="164" fontId="16" fillId="0" borderId="22" xfId="0" applyNumberFormat="1" applyFont="1" applyBorder="1"/>
    <xf numFmtId="0" fontId="12" fillId="2" borderId="15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2" fillId="2" borderId="41" xfId="0" applyNumberFormat="1" applyFont="1" applyFill="1" applyBorder="1" applyAlignment="1">
      <alignment horizontal="center"/>
    </xf>
    <xf numFmtId="0" fontId="3" fillId="2" borderId="20" xfId="0" applyFont="1" applyFill="1" applyBorder="1"/>
    <xf numFmtId="2" fontId="3" fillId="2" borderId="42" xfId="0" applyNumberFormat="1" applyFont="1" applyFill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12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9" fillId="0" borderId="7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justify"/>
    </xf>
    <xf numFmtId="0" fontId="16" fillId="0" borderId="34" xfId="0" applyFont="1" applyBorder="1" applyAlignment="1">
      <alignment horizontal="left" vertical="justify"/>
    </xf>
    <xf numFmtId="0" fontId="14" fillId="0" borderId="10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distributed"/>
    </xf>
    <xf numFmtId="0" fontId="15" fillId="0" borderId="10" xfId="0" applyFont="1" applyBorder="1" applyAlignment="1">
      <alignment horizontal="right"/>
    </xf>
    <xf numFmtId="0" fontId="15" fillId="0" borderId="36" xfId="0" applyFont="1" applyBorder="1" applyAlignment="1">
      <alignment horizontal="right"/>
    </xf>
    <xf numFmtId="43" fontId="14" fillId="0" borderId="29" xfId="0" applyNumberFormat="1" applyFont="1" applyBorder="1" applyAlignment="1">
      <alignment horizontal="center" vertical="top"/>
    </xf>
    <xf numFmtId="43" fontId="14" fillId="0" borderId="30" xfId="0" applyNumberFormat="1" applyFont="1" applyBorder="1" applyAlignment="1">
      <alignment horizontal="center" vertical="top"/>
    </xf>
    <xf numFmtId="43" fontId="14" fillId="0" borderId="20" xfId="0" applyNumberFormat="1" applyFont="1" applyBorder="1" applyAlignment="1">
      <alignment horizontal="center" vertical="top"/>
    </xf>
    <xf numFmtId="164" fontId="14" fillId="2" borderId="25" xfId="1" applyNumberFormat="1" applyFont="1" applyFill="1" applyBorder="1" applyAlignment="1">
      <alignment horizontal="center" vertical="top"/>
    </xf>
    <xf numFmtId="164" fontId="14" fillId="2" borderId="26" xfId="1" applyNumberFormat="1" applyFont="1" applyFill="1" applyBorder="1" applyAlignment="1">
      <alignment horizontal="center" vertical="top"/>
    </xf>
    <xf numFmtId="164" fontId="14" fillId="2" borderId="19" xfId="1" applyNumberFormat="1" applyFont="1" applyFill="1" applyBorder="1" applyAlignment="1">
      <alignment horizontal="center" vertical="top"/>
    </xf>
    <xf numFmtId="43" fontId="16" fillId="2" borderId="28" xfId="0" applyNumberFormat="1" applyFont="1" applyFill="1" applyBorder="1" applyAlignment="1">
      <alignment horizontal="center"/>
    </xf>
    <xf numFmtId="43" fontId="16" fillId="2" borderId="12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 vertical="justify"/>
    </xf>
    <xf numFmtId="0" fontId="16" fillId="0" borderId="35" xfId="0" applyFont="1" applyBorder="1" applyAlignment="1">
      <alignment horizontal="left" vertical="justify"/>
    </xf>
    <xf numFmtId="0" fontId="16" fillId="0" borderId="1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11" xfId="0" applyFont="1" applyBorder="1" applyAlignment="1">
      <alignment horizontal="left" vertical="justify"/>
    </xf>
    <xf numFmtId="0" fontId="17" fillId="0" borderId="34" xfId="0" applyFont="1" applyBorder="1" applyAlignment="1">
      <alignment horizontal="left" vertical="justify"/>
    </xf>
    <xf numFmtId="0" fontId="17" fillId="0" borderId="11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8" fillId="0" borderId="10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164" fontId="18" fillId="2" borderId="25" xfId="1" applyNumberFormat="1" applyFont="1" applyFill="1" applyBorder="1" applyAlignment="1">
      <alignment horizontal="right" vertical="top"/>
    </xf>
    <xf numFmtId="164" fontId="18" fillId="2" borderId="26" xfId="1" applyNumberFormat="1" applyFont="1" applyFill="1" applyBorder="1" applyAlignment="1">
      <alignment horizontal="right" vertical="top"/>
    </xf>
    <xf numFmtId="164" fontId="18" fillId="2" borderId="19" xfId="1" applyNumberFormat="1" applyFont="1" applyFill="1" applyBorder="1" applyAlignment="1">
      <alignment horizontal="right" vertical="top"/>
    </xf>
    <xf numFmtId="0" fontId="17" fillId="0" borderId="10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64" fontId="20" fillId="2" borderId="25" xfId="1" applyNumberFormat="1" applyFont="1" applyFill="1" applyBorder="1" applyAlignment="1">
      <alignment horizontal="center" vertical="top"/>
    </xf>
    <xf numFmtId="164" fontId="20" fillId="2" borderId="26" xfId="1" applyNumberFormat="1" applyFont="1" applyFill="1" applyBorder="1" applyAlignment="1">
      <alignment horizontal="center" vertical="top"/>
    </xf>
    <xf numFmtId="164" fontId="20" fillId="2" borderId="19" xfId="1" applyNumberFormat="1" applyFont="1" applyFill="1" applyBorder="1" applyAlignment="1">
      <alignment horizontal="center" vertical="top"/>
    </xf>
    <xf numFmtId="0" fontId="18" fillId="0" borderId="9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vertical="justify"/>
    </xf>
    <xf numFmtId="43" fontId="20" fillId="0" borderId="29" xfId="0" applyNumberFormat="1" applyFont="1" applyBorder="1" applyAlignment="1">
      <alignment horizontal="center" vertical="top"/>
    </xf>
    <xf numFmtId="43" fontId="20" fillId="0" borderId="30" xfId="0" applyNumberFormat="1" applyFont="1" applyBorder="1" applyAlignment="1">
      <alignment horizontal="center" vertical="top"/>
    </xf>
    <xf numFmtId="43" fontId="20" fillId="0" borderId="20" xfId="0" applyNumberFormat="1" applyFont="1" applyBorder="1" applyAlignment="1">
      <alignment horizontal="center" vertical="top"/>
    </xf>
    <xf numFmtId="43" fontId="18" fillId="0" borderId="29" xfId="0" applyNumberFormat="1" applyFont="1" applyBorder="1" applyAlignment="1">
      <alignment horizontal="center" vertical="top"/>
    </xf>
    <xf numFmtId="43" fontId="18" fillId="0" borderId="30" xfId="0" applyNumberFormat="1" applyFont="1" applyBorder="1" applyAlignment="1">
      <alignment horizontal="center" vertical="top"/>
    </xf>
    <xf numFmtId="43" fontId="18" fillId="0" borderId="20" xfId="0" applyNumberFormat="1" applyFont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topLeftCell="A55" workbookViewId="0">
      <selection activeCell="S16" sqref="S16"/>
    </sheetView>
  </sheetViews>
  <sheetFormatPr defaultRowHeight="12.75" x14ac:dyDescent="0.2"/>
  <cols>
    <col min="1" max="1" width="3.42578125" style="47" customWidth="1"/>
    <col min="2" max="2" width="63.28515625" style="224" customWidth="1"/>
    <col min="3" max="3" width="16.85546875" style="36" customWidth="1"/>
    <col min="4" max="4" width="16.85546875" style="5" customWidth="1"/>
    <col min="5" max="5" width="16.7109375" style="5" customWidth="1"/>
    <col min="6" max="17" width="8.7109375" style="64" customWidth="1"/>
    <col min="18" max="18" width="10.42578125" style="65" customWidth="1"/>
    <col min="19" max="19" width="9.140625" style="55"/>
    <col min="20" max="20" width="13.85546875" style="55" customWidth="1"/>
  </cols>
  <sheetData>
    <row r="1" spans="1:18" ht="15" x14ac:dyDescent="0.2">
      <c r="A1" s="235" t="s">
        <v>5</v>
      </c>
      <c r="B1" s="235"/>
      <c r="C1" s="235"/>
      <c r="D1" s="235"/>
      <c r="E1" s="235"/>
    </row>
    <row r="2" spans="1:18" ht="15.75" thickBot="1" x14ac:dyDescent="0.3">
      <c r="A2" s="242" t="s">
        <v>17</v>
      </c>
      <c r="B2" s="242"/>
      <c r="C2" s="242"/>
      <c r="D2" s="41" t="s">
        <v>58</v>
      </c>
      <c r="E2" s="45"/>
    </row>
    <row r="3" spans="1:18" ht="13.5" customHeight="1" thickBot="1" x14ac:dyDescent="0.25">
      <c r="A3" s="7"/>
      <c r="B3" s="199"/>
      <c r="C3" s="246" t="s">
        <v>44</v>
      </c>
      <c r="D3" s="247"/>
      <c r="E3" s="243" t="s">
        <v>46</v>
      </c>
      <c r="F3" s="237" t="s">
        <v>28</v>
      </c>
      <c r="G3" s="238" t="s">
        <v>29</v>
      </c>
      <c r="H3" s="238" t="s">
        <v>13</v>
      </c>
      <c r="I3" s="238" t="s">
        <v>31</v>
      </c>
      <c r="J3" s="238" t="s">
        <v>32</v>
      </c>
      <c r="K3" s="238" t="s">
        <v>33</v>
      </c>
      <c r="L3" s="239" t="s">
        <v>34</v>
      </c>
      <c r="M3" s="239" t="s">
        <v>48</v>
      </c>
      <c r="N3" s="187"/>
      <c r="O3" s="187"/>
      <c r="P3" s="187"/>
      <c r="Q3" s="187"/>
      <c r="R3" s="236" t="s">
        <v>14</v>
      </c>
    </row>
    <row r="4" spans="1:18" ht="15" customHeight="1" thickBot="1" x14ac:dyDescent="0.25">
      <c r="A4" s="46"/>
      <c r="B4" s="200"/>
      <c r="C4" s="229" t="s">
        <v>45</v>
      </c>
      <c r="D4" s="2" t="s">
        <v>9</v>
      </c>
      <c r="E4" s="244"/>
      <c r="F4" s="237"/>
      <c r="G4" s="238"/>
      <c r="H4" s="238"/>
      <c r="I4" s="238"/>
      <c r="J4" s="238"/>
      <c r="K4" s="238"/>
      <c r="L4" s="240"/>
      <c r="M4" s="240"/>
      <c r="N4" s="188" t="s">
        <v>112</v>
      </c>
      <c r="O4" s="188" t="s">
        <v>113</v>
      </c>
      <c r="P4" s="188" t="s">
        <v>114</v>
      </c>
      <c r="Q4" s="188" t="s">
        <v>115</v>
      </c>
      <c r="R4" s="236"/>
    </row>
    <row r="5" spans="1:18" ht="15" customHeight="1" thickBot="1" x14ac:dyDescent="0.3">
      <c r="A5" s="11"/>
      <c r="B5" s="201" t="s">
        <v>59</v>
      </c>
      <c r="C5" s="22"/>
      <c r="D5" s="18">
        <v>154076.63</v>
      </c>
      <c r="E5" s="245"/>
      <c r="F5" s="237"/>
      <c r="G5" s="238"/>
      <c r="H5" s="238"/>
      <c r="I5" s="238"/>
      <c r="J5" s="238"/>
      <c r="K5" s="238"/>
      <c r="L5" s="241"/>
      <c r="M5" s="241"/>
      <c r="N5" s="189"/>
      <c r="O5" s="189"/>
      <c r="P5" s="189"/>
      <c r="Q5" s="189"/>
      <c r="R5" s="178">
        <f>D5</f>
        <v>154076.63</v>
      </c>
    </row>
    <row r="6" spans="1:18" ht="14.25" customHeight="1" x14ac:dyDescent="0.25">
      <c r="A6" s="9"/>
      <c r="B6" s="230" t="s">
        <v>0</v>
      </c>
      <c r="C6" s="16"/>
      <c r="D6" s="7"/>
      <c r="E6" s="7"/>
      <c r="F6" s="82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79"/>
    </row>
    <row r="7" spans="1:18" ht="15" customHeight="1" thickBot="1" x14ac:dyDescent="0.3">
      <c r="A7" s="10">
        <v>1</v>
      </c>
      <c r="B7" s="202" t="s">
        <v>4</v>
      </c>
      <c r="C7" s="35">
        <v>2400000</v>
      </c>
      <c r="D7" s="54">
        <f>R7</f>
        <v>1720491.2000000002</v>
      </c>
      <c r="E7" s="25"/>
      <c r="F7" s="82">
        <f>118545-483.15</f>
        <v>118061.85</v>
      </c>
      <c r="G7" s="66">
        <v>126037.75</v>
      </c>
      <c r="H7" s="66">
        <v>87340</v>
      </c>
      <c r="I7" s="66">
        <f>254299-6748</f>
        <v>247551</v>
      </c>
      <c r="J7" s="67">
        <f>3000+341671.5</f>
        <v>344671.5</v>
      </c>
      <c r="K7" s="66">
        <v>25050</v>
      </c>
      <c r="L7" s="66">
        <v>2940</v>
      </c>
      <c r="M7" s="66">
        <v>7900</v>
      </c>
      <c r="N7" s="66">
        <v>266996</v>
      </c>
      <c r="O7" s="66">
        <v>240707.5</v>
      </c>
      <c r="P7" s="66">
        <f>1500+156517.6</f>
        <v>158017.60000000001</v>
      </c>
      <c r="Q7" s="66">
        <v>95218</v>
      </c>
      <c r="R7" s="180">
        <f>SUM(F7:Q7)</f>
        <v>1720491.2000000002</v>
      </c>
    </row>
    <row r="8" spans="1:18" ht="15" customHeight="1" thickBot="1" x14ac:dyDescent="0.3">
      <c r="A8" s="11"/>
      <c r="B8" s="203" t="s">
        <v>1</v>
      </c>
      <c r="C8" s="33"/>
      <c r="D8" s="53">
        <f>SUM(D5:D7)</f>
        <v>1874567.83</v>
      </c>
      <c r="E8" s="32"/>
      <c r="F8" s="82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178">
        <f>SUM(R5:R7)</f>
        <v>1874567.83</v>
      </c>
    </row>
    <row r="9" spans="1:18" ht="15" customHeight="1" thickBot="1" x14ac:dyDescent="0.3">
      <c r="A9" s="13"/>
      <c r="B9" s="204" t="s">
        <v>2</v>
      </c>
      <c r="C9" s="17"/>
      <c r="D9" s="2"/>
      <c r="E9" s="24"/>
      <c r="F9" s="82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178">
        <f>SUM(F9:H9)</f>
        <v>0</v>
      </c>
    </row>
    <row r="10" spans="1:18" ht="15" customHeight="1" thickBot="1" x14ac:dyDescent="0.25">
      <c r="A10" s="28" t="s">
        <v>22</v>
      </c>
      <c r="B10" s="205" t="s">
        <v>11</v>
      </c>
      <c r="C10" s="233">
        <v>140000</v>
      </c>
      <c r="D10" s="4">
        <f>R10</f>
        <v>115362</v>
      </c>
      <c r="E10" s="248">
        <f>C13-D13</f>
        <v>17440</v>
      </c>
      <c r="F10" s="82">
        <v>4806.75</v>
      </c>
      <c r="G10" s="66">
        <v>9613.5</v>
      </c>
      <c r="H10" s="67">
        <v>9613.5</v>
      </c>
      <c r="I10" s="67">
        <v>9613.5</v>
      </c>
      <c r="J10" s="67">
        <v>9613.5</v>
      </c>
      <c r="K10" s="67">
        <f>4806.75+8199.75</f>
        <v>13006.5</v>
      </c>
      <c r="L10" s="67">
        <f>3220.25+4806.75</f>
        <v>8027</v>
      </c>
      <c r="M10" s="67">
        <f>3000.25+4806.75+6220.5</f>
        <v>14027.5</v>
      </c>
      <c r="N10" s="67">
        <f>4806.75+1696.5</f>
        <v>6503.25</v>
      </c>
      <c r="O10" s="67">
        <f>4806.75+1696.5</f>
        <v>6503.25</v>
      </c>
      <c r="P10" s="67">
        <f>4806.75*2</f>
        <v>9613.5</v>
      </c>
      <c r="Q10" s="67">
        <f>4806.75+9613.5</f>
        <v>14420.25</v>
      </c>
      <c r="R10" s="178">
        <f t="shared" ref="R10:R17" si="0">SUM(F10:Q10)</f>
        <v>115362</v>
      </c>
    </row>
    <row r="11" spans="1:18" ht="15" customHeight="1" thickBot="1" x14ac:dyDescent="0.25">
      <c r="A11" s="30"/>
      <c r="B11" s="206" t="s">
        <v>27</v>
      </c>
      <c r="C11" s="234"/>
      <c r="D11" s="4">
        <f>R11</f>
        <v>17238</v>
      </c>
      <c r="E11" s="249"/>
      <c r="F11" s="82">
        <v>4309.5</v>
      </c>
      <c r="G11" s="66"/>
      <c r="H11" s="67"/>
      <c r="I11" s="67">
        <v>4309.5</v>
      </c>
      <c r="J11" s="67"/>
      <c r="K11" s="67">
        <v>4309.5</v>
      </c>
      <c r="L11" s="67"/>
      <c r="M11" s="67"/>
      <c r="N11" s="67"/>
      <c r="O11" s="67">
        <v>4309.5</v>
      </c>
      <c r="P11" s="67"/>
      <c r="Q11" s="67"/>
      <c r="R11" s="181">
        <f t="shared" si="0"/>
        <v>17238</v>
      </c>
    </row>
    <row r="12" spans="1:18" ht="15" customHeight="1" thickBot="1" x14ac:dyDescent="0.3">
      <c r="A12" s="14" t="s">
        <v>20</v>
      </c>
      <c r="B12" s="205" t="s">
        <v>3</v>
      </c>
      <c r="C12" s="43">
        <v>50000</v>
      </c>
      <c r="D12" s="4">
        <f>R12</f>
        <v>39960</v>
      </c>
      <c r="E12" s="249"/>
      <c r="F12" s="82"/>
      <c r="G12" s="66">
        <v>10045</v>
      </c>
      <c r="H12" s="66"/>
      <c r="I12" s="66">
        <v>9945</v>
      </c>
      <c r="J12" s="66"/>
      <c r="K12" s="66"/>
      <c r="L12" s="66">
        <f>7293+961.35+1690.65+80</f>
        <v>10025</v>
      </c>
      <c r="M12" s="66"/>
      <c r="N12" s="66"/>
      <c r="O12" s="66"/>
      <c r="P12" s="66">
        <v>9945</v>
      </c>
      <c r="Q12" s="66"/>
      <c r="R12" s="180">
        <f t="shared" si="0"/>
        <v>39960</v>
      </c>
    </row>
    <row r="13" spans="1:18" ht="15" customHeight="1" thickBot="1" x14ac:dyDescent="0.3">
      <c r="A13" s="14"/>
      <c r="B13" s="207" t="s">
        <v>39</v>
      </c>
      <c r="C13" s="34">
        <f>SUM(C10:C12)</f>
        <v>190000</v>
      </c>
      <c r="D13" s="51">
        <f>SUM(D10:D12)</f>
        <v>172560</v>
      </c>
      <c r="E13" s="250"/>
      <c r="F13" s="82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80">
        <f t="shared" si="0"/>
        <v>0</v>
      </c>
    </row>
    <row r="14" spans="1:18" ht="15" customHeight="1" thickBot="1" x14ac:dyDescent="0.3">
      <c r="A14" s="14" t="s">
        <v>21</v>
      </c>
      <c r="B14" s="205" t="s">
        <v>19</v>
      </c>
      <c r="C14" s="63">
        <v>40000</v>
      </c>
      <c r="D14" s="51">
        <f t="shared" ref="D14:D22" si="1">R14</f>
        <v>27146.62</v>
      </c>
      <c r="E14" s="1">
        <f>C14-D14</f>
        <v>12853.380000000001</v>
      </c>
      <c r="F14" s="82">
        <f>1476</f>
        <v>1476</v>
      </c>
      <c r="G14" s="66">
        <v>1592</v>
      </c>
      <c r="H14" s="66">
        <v>1694</v>
      </c>
      <c r="I14" s="66">
        <f>10765-6748+1836+250</f>
        <v>6103</v>
      </c>
      <c r="J14" s="66">
        <f>1878.06+734.73</f>
        <v>2612.79</v>
      </c>
      <c r="K14" s="66">
        <v>1977.03</v>
      </c>
      <c r="L14" s="66">
        <f>(25+64+12+24.03+44+32+24+44+16.1+12+27.5)+250+1500</f>
        <v>2074.63</v>
      </c>
      <c r="M14" s="66">
        <f>12+1555.14+15</f>
        <v>1582.14</v>
      </c>
      <c r="N14" s="66">
        <v>1609.26</v>
      </c>
      <c r="O14" s="66">
        <f>91+250+1995.11</f>
        <v>2336.1099999999997</v>
      </c>
      <c r="P14" s="66">
        <f>600+1732.06</f>
        <v>2332.06</v>
      </c>
      <c r="Q14" s="66">
        <f>32+24.03+32+40+64+17.5+48.07+1500</f>
        <v>1757.6</v>
      </c>
      <c r="R14" s="178">
        <f t="shared" si="0"/>
        <v>27146.62</v>
      </c>
    </row>
    <row r="15" spans="1:18" ht="15" customHeight="1" thickBot="1" x14ac:dyDescent="0.3">
      <c r="A15" s="20" t="s">
        <v>35</v>
      </c>
      <c r="B15" s="208" t="s">
        <v>36</v>
      </c>
      <c r="C15" s="48">
        <v>40000</v>
      </c>
      <c r="D15" s="51">
        <f t="shared" si="1"/>
        <v>16550</v>
      </c>
      <c r="E15" s="31">
        <f>C15-D15</f>
        <v>23450</v>
      </c>
      <c r="F15" s="82"/>
      <c r="G15" s="66"/>
      <c r="H15" s="66"/>
      <c r="I15" s="66"/>
      <c r="J15" s="66">
        <v>6900</v>
      </c>
      <c r="K15" s="66"/>
      <c r="L15" s="66"/>
      <c r="M15" s="66"/>
      <c r="N15" s="66"/>
      <c r="O15" s="66"/>
      <c r="P15" s="66"/>
      <c r="Q15" s="66">
        <f>8800+850</f>
        <v>9650</v>
      </c>
      <c r="R15" s="178">
        <f t="shared" si="0"/>
        <v>16550</v>
      </c>
    </row>
    <row r="16" spans="1:18" ht="15" customHeight="1" thickBot="1" x14ac:dyDescent="0.25">
      <c r="A16" s="254" t="s">
        <v>37</v>
      </c>
      <c r="B16" s="205" t="s">
        <v>38</v>
      </c>
      <c r="C16" s="233">
        <v>320000</v>
      </c>
      <c r="D16" s="19">
        <f t="shared" si="1"/>
        <v>66060</v>
      </c>
      <c r="E16" s="248">
        <f>C16-D16-D17</f>
        <v>226294.41</v>
      </c>
      <c r="F16" s="82"/>
      <c r="G16" s="66"/>
      <c r="H16" s="66"/>
      <c r="I16" s="66"/>
      <c r="J16" s="66"/>
      <c r="K16" s="66"/>
      <c r="L16" s="66"/>
      <c r="M16" s="66"/>
      <c r="N16" s="66"/>
      <c r="O16" s="66">
        <v>66060</v>
      </c>
      <c r="P16" s="66"/>
      <c r="Q16" s="66"/>
      <c r="R16" s="178">
        <f t="shared" si="0"/>
        <v>66060</v>
      </c>
    </row>
    <row r="17" spans="1:18" ht="15" customHeight="1" thickBot="1" x14ac:dyDescent="0.25">
      <c r="A17" s="255"/>
      <c r="B17" s="209" t="s">
        <v>40</v>
      </c>
      <c r="C17" s="234"/>
      <c r="D17" s="32">
        <f t="shared" si="1"/>
        <v>27645.59</v>
      </c>
      <c r="E17" s="250"/>
      <c r="F17" s="82"/>
      <c r="G17" s="66"/>
      <c r="H17" s="66"/>
      <c r="I17" s="66"/>
      <c r="J17" s="66"/>
      <c r="K17" s="66">
        <v>14177.14</v>
      </c>
      <c r="L17" s="66"/>
      <c r="M17" s="66"/>
      <c r="N17" s="66"/>
      <c r="O17" s="66">
        <v>13468.45</v>
      </c>
      <c r="P17" s="66"/>
      <c r="Q17" s="66"/>
      <c r="R17" s="178">
        <f t="shared" si="0"/>
        <v>27645.59</v>
      </c>
    </row>
    <row r="18" spans="1:18" ht="15" customHeight="1" thickBot="1" x14ac:dyDescent="0.25">
      <c r="A18" s="30"/>
      <c r="B18" s="207" t="s">
        <v>39</v>
      </c>
      <c r="C18" s="42"/>
      <c r="D18" s="44">
        <f>SUM(D16:D17)</f>
        <v>93705.59</v>
      </c>
      <c r="E18" s="83"/>
      <c r="F18" s="82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78"/>
    </row>
    <row r="19" spans="1:18" ht="15" customHeight="1" thickBot="1" x14ac:dyDescent="0.25">
      <c r="A19" s="30" t="s">
        <v>30</v>
      </c>
      <c r="B19" s="209" t="s">
        <v>23</v>
      </c>
      <c r="C19" s="49">
        <v>50000</v>
      </c>
      <c r="D19" s="19">
        <f t="shared" si="1"/>
        <v>26133.87</v>
      </c>
      <c r="E19" s="31">
        <f>C19-D19</f>
        <v>23866.13</v>
      </c>
      <c r="F19" s="82">
        <f>8164.5+144</f>
        <v>8308.5</v>
      </c>
      <c r="G19" s="66">
        <f>175.1+5029.48</f>
        <v>5204.58</v>
      </c>
      <c r="H19" s="66">
        <v>1564.54</v>
      </c>
      <c r="I19" s="66"/>
      <c r="J19" s="66">
        <f>5056.25+6000</f>
        <v>11056.25</v>
      </c>
      <c r="K19" s="66"/>
      <c r="L19" s="66"/>
      <c r="M19" s="66"/>
      <c r="N19" s="66"/>
      <c r="O19" s="66"/>
      <c r="P19" s="66"/>
      <c r="Q19" s="66"/>
      <c r="R19" s="178">
        <f>SUM(F19:Q19)</f>
        <v>26133.87</v>
      </c>
    </row>
    <row r="20" spans="1:18" ht="15" customHeight="1" x14ac:dyDescent="0.25">
      <c r="A20" s="37" t="s">
        <v>41</v>
      </c>
      <c r="B20" s="208" t="s">
        <v>77</v>
      </c>
      <c r="C20" s="233">
        <v>80000</v>
      </c>
      <c r="D20" s="26">
        <f t="shared" si="1"/>
        <v>27870</v>
      </c>
      <c r="E20" s="248">
        <f>C20-D23</f>
        <v>52.089999999996508</v>
      </c>
      <c r="F20" s="82"/>
      <c r="G20" s="66">
        <f>9850+10690</f>
        <v>20540</v>
      </c>
      <c r="H20" s="66">
        <f>890+2745</f>
        <v>3635</v>
      </c>
      <c r="I20" s="66"/>
      <c r="J20" s="66"/>
      <c r="K20" s="66">
        <f>2300+980</f>
        <v>3280</v>
      </c>
      <c r="L20" s="66"/>
      <c r="M20" s="66"/>
      <c r="N20" s="66"/>
      <c r="O20" s="66">
        <f>255+160</f>
        <v>415</v>
      </c>
      <c r="P20" s="66"/>
      <c r="Q20" s="66"/>
      <c r="R20" s="178">
        <f>SUM(F20:Q20)</f>
        <v>27870</v>
      </c>
    </row>
    <row r="21" spans="1:18" ht="15" customHeight="1" x14ac:dyDescent="0.25">
      <c r="A21" s="38"/>
      <c r="B21" s="210" t="s">
        <v>72</v>
      </c>
      <c r="C21" s="256"/>
      <c r="D21" s="27">
        <f t="shared" si="1"/>
        <v>44877.91</v>
      </c>
      <c r="E21" s="249"/>
      <c r="F21" s="82"/>
      <c r="G21" s="66"/>
      <c r="H21" s="66">
        <v>3640</v>
      </c>
      <c r="I21" s="66"/>
      <c r="J21" s="66"/>
      <c r="K21" s="66">
        <v>41237.910000000003</v>
      </c>
      <c r="L21" s="66"/>
      <c r="M21" s="66"/>
      <c r="N21" s="66"/>
      <c r="O21" s="66"/>
      <c r="P21" s="66"/>
      <c r="Q21" s="66"/>
      <c r="R21" s="178">
        <f>SUM(F21:Q21)</f>
        <v>44877.91</v>
      </c>
    </row>
    <row r="22" spans="1:18" ht="15" customHeight="1" thickBot="1" x14ac:dyDescent="0.3">
      <c r="A22" s="38"/>
      <c r="B22" s="211" t="s">
        <v>71</v>
      </c>
      <c r="C22" s="256"/>
      <c r="D22" s="3">
        <f t="shared" si="1"/>
        <v>7200</v>
      </c>
      <c r="E22" s="249"/>
      <c r="F22" s="82"/>
      <c r="G22" s="66"/>
      <c r="H22" s="66"/>
      <c r="I22" s="66"/>
      <c r="J22" s="66"/>
      <c r="K22" s="66">
        <v>7200</v>
      </c>
      <c r="L22" s="66"/>
      <c r="M22" s="66"/>
      <c r="N22" s="66"/>
      <c r="O22" s="66"/>
      <c r="P22" s="66"/>
      <c r="Q22" s="66"/>
      <c r="R22" s="178">
        <f>SUM(F22:Q22)</f>
        <v>7200</v>
      </c>
    </row>
    <row r="23" spans="1:18" ht="15" customHeight="1" thickBot="1" x14ac:dyDescent="0.3">
      <c r="A23" s="39"/>
      <c r="B23" s="212" t="s">
        <v>39</v>
      </c>
      <c r="C23" s="234"/>
      <c r="D23" s="52">
        <f>SUM(D20:D22)</f>
        <v>79947.91</v>
      </c>
      <c r="E23" s="250"/>
      <c r="F23" s="82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178"/>
    </row>
    <row r="24" spans="1:18" ht="15" customHeight="1" thickBot="1" x14ac:dyDescent="0.25">
      <c r="A24" s="62">
        <v>8</v>
      </c>
      <c r="B24" s="205" t="s">
        <v>53</v>
      </c>
      <c r="C24" s="61">
        <v>300000</v>
      </c>
      <c r="D24" s="19">
        <f>R24</f>
        <v>111540</v>
      </c>
      <c r="E24" s="60">
        <f>C24-D24</f>
        <v>188460</v>
      </c>
      <c r="F24" s="82"/>
      <c r="G24" s="66"/>
      <c r="H24" s="66"/>
      <c r="I24" s="66"/>
      <c r="J24" s="66"/>
      <c r="K24" s="66"/>
      <c r="L24" s="66"/>
      <c r="M24" s="66"/>
      <c r="N24" s="66"/>
      <c r="O24" s="66">
        <v>111540</v>
      </c>
      <c r="P24" s="66"/>
      <c r="Q24" s="66"/>
      <c r="R24" s="178">
        <f>SUM(F24:Q24)</f>
        <v>111540</v>
      </c>
    </row>
    <row r="25" spans="1:18" ht="15" customHeight="1" x14ac:dyDescent="0.2">
      <c r="A25" s="28" t="s">
        <v>12</v>
      </c>
      <c r="B25" s="213" t="s">
        <v>52</v>
      </c>
      <c r="C25" s="233">
        <v>30000</v>
      </c>
      <c r="D25" s="26"/>
      <c r="E25" s="248">
        <f>C25-D28</f>
        <v>2100</v>
      </c>
      <c r="F25" s="82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178"/>
    </row>
    <row r="26" spans="1:18" ht="13.5" customHeight="1" x14ac:dyDescent="0.2">
      <c r="A26" s="29"/>
      <c r="B26" s="214" t="s">
        <v>42</v>
      </c>
      <c r="C26" s="256"/>
      <c r="D26" s="27">
        <f>R26</f>
        <v>24300</v>
      </c>
      <c r="E26" s="249"/>
      <c r="F26" s="82"/>
      <c r="G26" s="66"/>
      <c r="H26" s="66"/>
      <c r="I26" s="66">
        <v>10700</v>
      </c>
      <c r="J26" s="66"/>
      <c r="K26" s="66">
        <v>1200</v>
      </c>
      <c r="L26" s="66"/>
      <c r="M26" s="66"/>
      <c r="N26" s="66">
        <v>970</v>
      </c>
      <c r="O26" s="66">
        <f>3930+7500</f>
        <v>11430</v>
      </c>
      <c r="P26" s="66"/>
      <c r="Q26" s="66"/>
      <c r="R26" s="178">
        <f>SUM(F26:Q26)</f>
        <v>24300</v>
      </c>
    </row>
    <row r="27" spans="1:18" ht="13.5" customHeight="1" thickBot="1" x14ac:dyDescent="0.25">
      <c r="A27" s="29"/>
      <c r="B27" s="215" t="s">
        <v>65</v>
      </c>
      <c r="C27" s="256"/>
      <c r="D27" s="27">
        <f>R27</f>
        <v>3600</v>
      </c>
      <c r="E27" s="249"/>
      <c r="F27" s="82"/>
      <c r="G27" s="66"/>
      <c r="H27" s="66"/>
      <c r="I27" s="66">
        <v>3600</v>
      </c>
      <c r="J27" s="66"/>
      <c r="K27" s="66"/>
      <c r="L27" s="66"/>
      <c r="M27" s="66"/>
      <c r="N27" s="66"/>
      <c r="O27" s="66"/>
      <c r="P27" s="66"/>
      <c r="Q27" s="66"/>
      <c r="R27" s="178">
        <f>SUM(F27:Q27)</f>
        <v>3600</v>
      </c>
    </row>
    <row r="28" spans="1:18" ht="15" customHeight="1" thickBot="1" x14ac:dyDescent="0.3">
      <c r="A28" s="30"/>
      <c r="B28" s="207" t="s">
        <v>39</v>
      </c>
      <c r="C28" s="234"/>
      <c r="D28" s="51">
        <f>SUM(D25:D27)</f>
        <v>27900</v>
      </c>
      <c r="E28" s="250"/>
      <c r="F28" s="82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178">
        <f>SUM(F28:Q28)</f>
        <v>0</v>
      </c>
    </row>
    <row r="29" spans="1:18" ht="15" customHeight="1" thickBot="1" x14ac:dyDescent="0.3">
      <c r="A29" s="20" t="s">
        <v>49</v>
      </c>
      <c r="B29" s="205" t="s">
        <v>43</v>
      </c>
      <c r="C29" s="50">
        <v>60000</v>
      </c>
      <c r="D29" s="51">
        <f>R29</f>
        <v>30000</v>
      </c>
      <c r="E29" s="1">
        <f>C29-D29</f>
        <v>30000</v>
      </c>
      <c r="F29" s="82"/>
      <c r="G29" s="66"/>
      <c r="H29" s="66"/>
      <c r="I29" s="66">
        <v>30000</v>
      </c>
      <c r="J29" s="66"/>
      <c r="K29" s="66"/>
      <c r="L29" s="66"/>
      <c r="M29" s="66"/>
      <c r="N29" s="66"/>
      <c r="O29" s="66"/>
      <c r="P29" s="66"/>
      <c r="Q29" s="66"/>
      <c r="R29" s="178">
        <f>SUM(F29:Q29)</f>
        <v>30000</v>
      </c>
    </row>
    <row r="30" spans="1:18" ht="15" customHeight="1" thickBot="1" x14ac:dyDescent="0.25">
      <c r="A30" s="28" t="s">
        <v>50</v>
      </c>
      <c r="B30" s="211" t="s">
        <v>10</v>
      </c>
      <c r="C30" s="233">
        <v>40000</v>
      </c>
      <c r="D30" s="248">
        <f>R30</f>
        <v>9459.630000000001</v>
      </c>
      <c r="E30" s="248">
        <f>C30-D30</f>
        <v>30540.37</v>
      </c>
      <c r="F30" s="82">
        <v>2500</v>
      </c>
      <c r="G30" s="66"/>
      <c r="H30" s="66"/>
      <c r="I30" s="66"/>
      <c r="J30" s="66"/>
      <c r="K30" s="66"/>
      <c r="L30" s="66"/>
      <c r="M30" s="66"/>
      <c r="N30" s="66"/>
      <c r="O30" s="66">
        <v>6959.63</v>
      </c>
      <c r="P30" s="66"/>
      <c r="Q30" s="66"/>
      <c r="R30" s="178">
        <f>SUM(F30:Q30)</f>
        <v>9459.630000000001</v>
      </c>
    </row>
    <row r="31" spans="1:18" ht="15" customHeight="1" thickBot="1" x14ac:dyDescent="0.25">
      <c r="A31" s="30"/>
      <c r="B31" s="207" t="s">
        <v>39</v>
      </c>
      <c r="C31" s="234"/>
      <c r="D31" s="250"/>
      <c r="E31" s="257"/>
      <c r="F31" s="82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178"/>
    </row>
    <row r="32" spans="1:18" ht="15" customHeight="1" thickBot="1" x14ac:dyDescent="0.25">
      <c r="A32" s="29" t="s">
        <v>111</v>
      </c>
      <c r="B32" s="205" t="s">
        <v>62</v>
      </c>
      <c r="C32" s="184">
        <v>50000</v>
      </c>
      <c r="D32" s="19">
        <f>R32</f>
        <v>49966</v>
      </c>
      <c r="E32" s="1">
        <f>C32-D32</f>
        <v>34</v>
      </c>
      <c r="F32" s="82">
        <v>49966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185">
        <f t="shared" ref="R32:R56" si="2">SUM(F32:Q32)</f>
        <v>49966</v>
      </c>
    </row>
    <row r="33" spans="1:18" ht="15" customHeight="1" thickBot="1" x14ac:dyDescent="0.25">
      <c r="A33" s="251">
        <v>13</v>
      </c>
      <c r="B33" s="213" t="s">
        <v>26</v>
      </c>
      <c r="C33" s="233">
        <v>400000</v>
      </c>
      <c r="D33" s="4">
        <f t="shared" ref="D33:D50" si="3">R33</f>
        <v>32953.03</v>
      </c>
      <c r="E33" s="248">
        <f>C33-D57</f>
        <v>50103.839999999967</v>
      </c>
      <c r="F33" s="82"/>
      <c r="G33" s="66">
        <f>3081+6879.93</f>
        <v>9960.93</v>
      </c>
      <c r="H33" s="66"/>
      <c r="I33" s="66">
        <f>3742+4560+997.5+1641.6+1596+499+1170</f>
        <v>14206.1</v>
      </c>
      <c r="J33" s="66">
        <f>2000+3740</f>
        <v>5740</v>
      </c>
      <c r="K33" s="66"/>
      <c r="L33" s="66">
        <f>1218+650</f>
        <v>1868</v>
      </c>
      <c r="M33" s="66"/>
      <c r="N33" s="66"/>
      <c r="O33" s="66">
        <v>54</v>
      </c>
      <c r="P33" s="66"/>
      <c r="Q33" s="66">
        <f>500+184+440</f>
        <v>1124</v>
      </c>
      <c r="R33" s="178">
        <f t="shared" si="2"/>
        <v>32953.03</v>
      </c>
    </row>
    <row r="34" spans="1:18" ht="15" customHeight="1" thickBot="1" x14ac:dyDescent="0.25">
      <c r="A34" s="252"/>
      <c r="B34" s="213" t="s">
        <v>15</v>
      </c>
      <c r="C34" s="256"/>
      <c r="D34" s="4">
        <f t="shared" si="3"/>
        <v>9646.5599999999977</v>
      </c>
      <c r="E34" s="249"/>
      <c r="F34" s="82">
        <f>(21085.94-15085)</f>
        <v>6000.9399999999987</v>
      </c>
      <c r="G34" s="66"/>
      <c r="H34" s="66">
        <v>1325.5</v>
      </c>
      <c r="I34" s="66"/>
      <c r="J34" s="66"/>
      <c r="K34" s="66"/>
      <c r="L34" s="66"/>
      <c r="M34" s="66"/>
      <c r="N34" s="66"/>
      <c r="O34" s="66"/>
      <c r="P34" s="66"/>
      <c r="Q34" s="66">
        <v>2320.12</v>
      </c>
      <c r="R34" s="178">
        <f t="shared" si="2"/>
        <v>9646.5599999999977</v>
      </c>
    </row>
    <row r="35" spans="1:18" ht="13.5" thickBot="1" x14ac:dyDescent="0.25">
      <c r="A35" s="252"/>
      <c r="B35" s="216" t="s">
        <v>64</v>
      </c>
      <c r="C35" s="256"/>
      <c r="D35" s="4">
        <f t="shared" si="3"/>
        <v>16785</v>
      </c>
      <c r="E35" s="249"/>
      <c r="F35" s="82">
        <v>15085</v>
      </c>
      <c r="G35" s="66"/>
      <c r="H35" s="66">
        <v>1700</v>
      </c>
      <c r="I35" s="66"/>
      <c r="J35" s="66"/>
      <c r="K35" s="66"/>
      <c r="L35" s="66"/>
      <c r="M35" s="66"/>
      <c r="N35" s="66"/>
      <c r="O35" s="66"/>
      <c r="P35" s="66"/>
      <c r="Q35" s="66"/>
      <c r="R35" s="178">
        <f t="shared" si="2"/>
        <v>16785</v>
      </c>
    </row>
    <row r="36" spans="1:18" ht="13.5" thickBot="1" x14ac:dyDescent="0.25">
      <c r="A36" s="252"/>
      <c r="B36" s="216" t="s">
        <v>117</v>
      </c>
      <c r="C36" s="256"/>
      <c r="D36" s="4">
        <f t="shared" si="3"/>
        <v>28480</v>
      </c>
      <c r="E36" s="249"/>
      <c r="F36" s="82"/>
      <c r="G36" s="66"/>
      <c r="H36" s="66"/>
      <c r="I36" s="66"/>
      <c r="J36" s="66"/>
      <c r="K36" s="66"/>
      <c r="L36" s="66"/>
      <c r="M36" s="66"/>
      <c r="N36" s="66"/>
      <c r="O36" s="66">
        <v>28480</v>
      </c>
      <c r="P36" s="66"/>
      <c r="Q36" s="66"/>
      <c r="R36" s="186">
        <f t="shared" si="2"/>
        <v>28480</v>
      </c>
    </row>
    <row r="37" spans="1:18" ht="13.5" thickBot="1" x14ac:dyDescent="0.25">
      <c r="A37" s="252"/>
      <c r="B37" s="216" t="s">
        <v>129</v>
      </c>
      <c r="C37" s="256"/>
      <c r="D37" s="4">
        <f t="shared" si="3"/>
        <v>13687</v>
      </c>
      <c r="E37" s="249"/>
      <c r="F37" s="82">
        <v>780</v>
      </c>
      <c r="G37" s="66">
        <f>1276+5265</f>
        <v>6541</v>
      </c>
      <c r="H37" s="66"/>
      <c r="I37" s="66"/>
      <c r="J37" s="66">
        <f>1853+4513</f>
        <v>6366</v>
      </c>
      <c r="K37" s="66"/>
      <c r="L37" s="66"/>
      <c r="M37" s="66"/>
      <c r="N37" s="66"/>
      <c r="O37" s="66"/>
      <c r="P37" s="66"/>
      <c r="Q37" s="66"/>
      <c r="R37" s="178">
        <f t="shared" si="2"/>
        <v>13687</v>
      </c>
    </row>
    <row r="38" spans="1:18" ht="13.5" thickBot="1" x14ac:dyDescent="0.25">
      <c r="A38" s="252"/>
      <c r="B38" s="216" t="s">
        <v>127</v>
      </c>
      <c r="C38" s="256"/>
      <c r="D38" s="4">
        <f t="shared" si="3"/>
        <v>63720.5</v>
      </c>
      <c r="E38" s="249"/>
      <c r="F38" s="82"/>
      <c r="G38" s="66"/>
      <c r="H38" s="66"/>
      <c r="I38" s="66">
        <v>24447.5</v>
      </c>
      <c r="J38" s="66"/>
      <c r="K38" s="66">
        <v>12294</v>
      </c>
      <c r="L38" s="66">
        <v>2979</v>
      </c>
      <c r="M38" s="66"/>
      <c r="N38" s="66"/>
      <c r="O38" s="66"/>
      <c r="P38" s="66"/>
      <c r="Q38" s="66">
        <f>24000</f>
        <v>24000</v>
      </c>
      <c r="R38" s="178">
        <f t="shared" si="2"/>
        <v>63720.5</v>
      </c>
    </row>
    <row r="39" spans="1:18" ht="13.5" thickBot="1" x14ac:dyDescent="0.25">
      <c r="A39" s="252"/>
      <c r="B39" s="206" t="s">
        <v>120</v>
      </c>
      <c r="C39" s="256"/>
      <c r="D39" s="4">
        <f t="shared" si="3"/>
        <v>3532.7</v>
      </c>
      <c r="E39" s="249"/>
      <c r="F39" s="82"/>
      <c r="G39" s="66"/>
      <c r="H39" s="66"/>
      <c r="I39" s="66"/>
      <c r="J39" s="66"/>
      <c r="K39" s="66"/>
      <c r="L39" s="66"/>
      <c r="M39" s="66"/>
      <c r="N39" s="66"/>
      <c r="O39" s="66"/>
      <c r="P39" s="66">
        <v>3532.7</v>
      </c>
      <c r="Q39" s="66"/>
      <c r="R39" s="186">
        <f t="shared" si="2"/>
        <v>3532.7</v>
      </c>
    </row>
    <row r="40" spans="1:18" ht="15.75" thickBot="1" x14ac:dyDescent="0.25">
      <c r="A40" s="252"/>
      <c r="B40" s="213" t="s">
        <v>16</v>
      </c>
      <c r="C40" s="256"/>
      <c r="D40" s="4">
        <f t="shared" si="3"/>
        <v>16447.5</v>
      </c>
      <c r="E40" s="249"/>
      <c r="F40" s="82">
        <f>28+600+530+1515+162+182+375</f>
        <v>3392</v>
      </c>
      <c r="G40" s="66">
        <v>800</v>
      </c>
      <c r="H40" s="66"/>
      <c r="I40" s="66">
        <v>93</v>
      </c>
      <c r="J40" s="66"/>
      <c r="K40" s="66"/>
      <c r="L40" s="66">
        <f>29770-5758-13200-1130</f>
        <v>9682</v>
      </c>
      <c r="M40" s="66"/>
      <c r="N40" s="66">
        <f>1940</f>
        <v>1940</v>
      </c>
      <c r="O40" s="66">
        <f>115+103.5+150</f>
        <v>368.5</v>
      </c>
      <c r="P40" s="66">
        <v>172</v>
      </c>
      <c r="Q40" s="66"/>
      <c r="R40" s="178">
        <f t="shared" si="2"/>
        <v>16447.5</v>
      </c>
    </row>
    <row r="41" spans="1:18" ht="13.5" thickBot="1" x14ac:dyDescent="0.25">
      <c r="A41" s="252"/>
      <c r="B41" s="216" t="s">
        <v>75</v>
      </c>
      <c r="C41" s="256"/>
      <c r="D41" s="4">
        <f t="shared" si="3"/>
        <v>2300</v>
      </c>
      <c r="E41" s="249"/>
      <c r="F41" s="82">
        <f>772+398</f>
        <v>1170</v>
      </c>
      <c r="G41" s="66"/>
      <c r="H41" s="66"/>
      <c r="I41" s="66"/>
      <c r="J41" s="66"/>
      <c r="K41" s="66"/>
      <c r="L41" s="66">
        <f>1130</f>
        <v>1130</v>
      </c>
      <c r="M41" s="66"/>
      <c r="N41" s="66"/>
      <c r="O41" s="66"/>
      <c r="P41" s="66"/>
      <c r="Q41" s="66"/>
      <c r="R41" s="178">
        <f t="shared" si="2"/>
        <v>2300</v>
      </c>
    </row>
    <row r="42" spans="1:18" ht="13.5" thickBot="1" x14ac:dyDescent="0.25">
      <c r="A42" s="252"/>
      <c r="B42" s="217" t="s">
        <v>76</v>
      </c>
      <c r="C42" s="256"/>
      <c r="D42" s="4">
        <f t="shared" si="3"/>
        <v>13200</v>
      </c>
      <c r="E42" s="249"/>
      <c r="F42" s="82"/>
      <c r="G42" s="66"/>
      <c r="H42" s="66"/>
      <c r="I42" s="66"/>
      <c r="J42" s="66"/>
      <c r="K42" s="66"/>
      <c r="L42" s="66">
        <f>13200</f>
        <v>13200</v>
      </c>
      <c r="M42" s="66"/>
      <c r="N42" s="66"/>
      <c r="O42" s="66"/>
      <c r="P42" s="66"/>
      <c r="Q42" s="66"/>
      <c r="R42" s="178">
        <f t="shared" si="2"/>
        <v>13200</v>
      </c>
    </row>
    <row r="43" spans="1:18" ht="13.5" thickBot="1" x14ac:dyDescent="0.25">
      <c r="A43" s="252"/>
      <c r="B43" s="217" t="s">
        <v>128</v>
      </c>
      <c r="C43" s="256"/>
      <c r="D43" s="4">
        <f t="shared" si="3"/>
        <v>5758</v>
      </c>
      <c r="E43" s="249"/>
      <c r="F43" s="82"/>
      <c r="G43" s="66"/>
      <c r="H43" s="66"/>
      <c r="I43" s="66"/>
      <c r="J43" s="66"/>
      <c r="K43" s="66"/>
      <c r="L43" s="66">
        <v>5758</v>
      </c>
      <c r="M43" s="66"/>
      <c r="N43" s="66"/>
      <c r="O43" s="66"/>
      <c r="P43" s="66"/>
      <c r="Q43" s="66"/>
      <c r="R43" s="178">
        <f t="shared" si="2"/>
        <v>5758</v>
      </c>
    </row>
    <row r="44" spans="1:18" ht="13.5" thickBot="1" x14ac:dyDescent="0.25">
      <c r="A44" s="252"/>
      <c r="B44" s="215" t="s">
        <v>122</v>
      </c>
      <c r="C44" s="256"/>
      <c r="D44" s="4">
        <f t="shared" si="3"/>
        <v>20542</v>
      </c>
      <c r="E44" s="249"/>
      <c r="F44" s="82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>
        <v>20542</v>
      </c>
      <c r="R44" s="186">
        <f t="shared" si="2"/>
        <v>20542</v>
      </c>
    </row>
    <row r="45" spans="1:18" ht="15" customHeight="1" thickBot="1" x14ac:dyDescent="0.25">
      <c r="A45" s="252"/>
      <c r="B45" s="205" t="s">
        <v>18</v>
      </c>
      <c r="C45" s="256"/>
      <c r="D45" s="4">
        <f t="shared" si="3"/>
        <v>18060.379999999997</v>
      </c>
      <c r="E45" s="249"/>
      <c r="F45" s="82">
        <f>205+5124.3</f>
        <v>5329.3</v>
      </c>
      <c r="G45" s="66">
        <v>2113.6</v>
      </c>
      <c r="H45" s="66">
        <v>1400</v>
      </c>
      <c r="I45" s="66"/>
      <c r="J45" s="66">
        <v>912</v>
      </c>
      <c r="K45" s="66">
        <v>1690</v>
      </c>
      <c r="L45" s="66">
        <v>1995</v>
      </c>
      <c r="M45" s="66"/>
      <c r="N45" s="66">
        <f>80+498.48</f>
        <v>578.48</v>
      </c>
      <c r="O45" s="66">
        <f>150+418+537+372+2565</f>
        <v>4042</v>
      </c>
      <c r="P45" s="66"/>
      <c r="Q45" s="66"/>
      <c r="R45" s="178">
        <f t="shared" si="2"/>
        <v>18060.379999999997</v>
      </c>
    </row>
    <row r="46" spans="1:18" ht="15" customHeight="1" thickBot="1" x14ac:dyDescent="0.25">
      <c r="A46" s="252"/>
      <c r="B46" s="205" t="s">
        <v>118</v>
      </c>
      <c r="C46" s="256"/>
      <c r="D46" s="4">
        <f t="shared" si="3"/>
        <v>23320</v>
      </c>
      <c r="E46" s="249"/>
      <c r="F46" s="82"/>
      <c r="G46" s="66"/>
      <c r="H46" s="66"/>
      <c r="I46" s="66"/>
      <c r="J46" s="66"/>
      <c r="K46" s="66"/>
      <c r="L46" s="66"/>
      <c r="M46" s="66"/>
      <c r="N46" s="66"/>
      <c r="O46" s="66">
        <v>23320</v>
      </c>
      <c r="P46" s="66"/>
      <c r="Q46" s="66"/>
      <c r="R46" s="186">
        <f t="shared" si="2"/>
        <v>23320</v>
      </c>
    </row>
    <row r="47" spans="1:18" ht="15" customHeight="1" thickBot="1" x14ac:dyDescent="0.25">
      <c r="A47" s="252"/>
      <c r="B47" s="205" t="s">
        <v>124</v>
      </c>
      <c r="C47" s="256"/>
      <c r="D47" s="4">
        <f t="shared" si="3"/>
        <v>3223</v>
      </c>
      <c r="E47" s="249"/>
      <c r="F47" s="82"/>
      <c r="G47" s="66"/>
      <c r="H47" s="66"/>
      <c r="I47" s="66"/>
      <c r="J47" s="66"/>
      <c r="K47" s="66"/>
      <c r="L47" s="66"/>
      <c r="M47" s="66"/>
      <c r="N47" s="66"/>
      <c r="O47" s="66">
        <v>2036</v>
      </c>
      <c r="P47" s="66">
        <v>1187</v>
      </c>
      <c r="Q47" s="66"/>
      <c r="R47" s="186">
        <f t="shared" si="2"/>
        <v>3223</v>
      </c>
    </row>
    <row r="48" spans="1:18" ht="15" customHeight="1" thickBot="1" x14ac:dyDescent="0.25">
      <c r="A48" s="252"/>
      <c r="B48" s="205" t="s">
        <v>57</v>
      </c>
      <c r="C48" s="256"/>
      <c r="D48" s="4">
        <f t="shared" si="3"/>
        <v>10822.8</v>
      </c>
      <c r="E48" s="249"/>
      <c r="F48" s="82">
        <f>1575</f>
        <v>1575</v>
      </c>
      <c r="G48" s="66"/>
      <c r="H48" s="66">
        <v>1575</v>
      </c>
      <c r="I48" s="66"/>
      <c r="J48" s="66"/>
      <c r="K48" s="66"/>
      <c r="L48" s="66"/>
      <c r="M48" s="66"/>
      <c r="N48" s="66"/>
      <c r="O48" s="66">
        <v>5280.8</v>
      </c>
      <c r="P48" s="66">
        <v>2392</v>
      </c>
      <c r="Q48" s="66"/>
      <c r="R48" s="178">
        <f t="shared" si="2"/>
        <v>10822.8</v>
      </c>
    </row>
    <row r="49" spans="1:20" ht="15" customHeight="1" thickBot="1" x14ac:dyDescent="0.25">
      <c r="A49" s="252"/>
      <c r="B49" s="211" t="s">
        <v>67</v>
      </c>
      <c r="C49" s="256"/>
      <c r="D49" s="4">
        <f t="shared" si="3"/>
        <v>25638.5</v>
      </c>
      <c r="E49" s="249"/>
      <c r="F49" s="82"/>
      <c r="G49" s="66">
        <v>10676</v>
      </c>
      <c r="H49" s="66"/>
      <c r="I49" s="66">
        <f>1900+551+1672+1102+1624.5+323</f>
        <v>7172.5</v>
      </c>
      <c r="J49" s="66"/>
      <c r="K49" s="66">
        <f>304+1662.5+1339.5</f>
        <v>3306</v>
      </c>
      <c r="L49" s="66"/>
      <c r="M49" s="66"/>
      <c r="N49" s="66"/>
      <c r="O49" s="66">
        <v>4484</v>
      </c>
      <c r="P49" s="66"/>
      <c r="Q49" s="66"/>
      <c r="R49" s="178">
        <f t="shared" si="2"/>
        <v>25638.5</v>
      </c>
    </row>
    <row r="50" spans="1:20" ht="15" customHeight="1" thickBot="1" x14ac:dyDescent="0.25">
      <c r="A50" s="252"/>
      <c r="B50" s="211" t="s">
        <v>69</v>
      </c>
      <c r="C50" s="256"/>
      <c r="D50" s="4">
        <f t="shared" si="3"/>
        <v>4130</v>
      </c>
      <c r="E50" s="249"/>
      <c r="F50" s="82"/>
      <c r="G50" s="66"/>
      <c r="H50" s="66"/>
      <c r="I50" s="66"/>
      <c r="J50" s="66"/>
      <c r="K50" s="66">
        <v>4130</v>
      </c>
      <c r="L50" s="66"/>
      <c r="M50" s="66"/>
      <c r="N50" s="66"/>
      <c r="O50" s="66"/>
      <c r="P50" s="66"/>
      <c r="Q50" s="66"/>
      <c r="R50" s="178">
        <f t="shared" si="2"/>
        <v>4130</v>
      </c>
    </row>
    <row r="51" spans="1:20" ht="15" customHeight="1" thickBot="1" x14ac:dyDescent="0.25">
      <c r="A51" s="252"/>
      <c r="B51" s="218" t="s">
        <v>56</v>
      </c>
      <c r="C51" s="256"/>
      <c r="D51" s="4">
        <f t="shared" ref="D51:D56" si="4">R51</f>
        <v>5720</v>
      </c>
      <c r="E51" s="249"/>
      <c r="F51" s="82"/>
      <c r="G51" s="66"/>
      <c r="H51" s="66"/>
      <c r="I51" s="66"/>
      <c r="J51" s="66"/>
      <c r="K51" s="66">
        <v>1300</v>
      </c>
      <c r="L51" s="66">
        <v>2600</v>
      </c>
      <c r="M51" s="66"/>
      <c r="N51" s="66"/>
      <c r="O51" s="66"/>
      <c r="P51" s="66"/>
      <c r="Q51" s="66">
        <v>1820</v>
      </c>
      <c r="R51" s="178">
        <f t="shared" si="2"/>
        <v>5720</v>
      </c>
    </row>
    <row r="52" spans="1:20" ht="15" customHeight="1" thickBot="1" x14ac:dyDescent="0.25">
      <c r="A52" s="252"/>
      <c r="B52" s="218" t="s">
        <v>60</v>
      </c>
      <c r="C52" s="256"/>
      <c r="D52" s="4">
        <f t="shared" si="4"/>
        <v>4891.04</v>
      </c>
      <c r="E52" s="249"/>
      <c r="F52" s="82"/>
      <c r="G52" s="66"/>
      <c r="H52" s="66"/>
      <c r="I52" s="66"/>
      <c r="J52" s="66">
        <v>2200</v>
      </c>
      <c r="K52" s="66">
        <v>376</v>
      </c>
      <c r="L52" s="66">
        <v>2315.04</v>
      </c>
      <c r="M52" s="66"/>
      <c r="N52" s="66"/>
      <c r="O52" s="66"/>
      <c r="P52" s="66"/>
      <c r="Q52" s="66"/>
      <c r="R52" s="178">
        <f t="shared" si="2"/>
        <v>4891.04</v>
      </c>
    </row>
    <row r="53" spans="1:20" ht="15" customHeight="1" thickBot="1" x14ac:dyDescent="0.25">
      <c r="A53" s="252"/>
      <c r="B53" s="211" t="s">
        <v>70</v>
      </c>
      <c r="C53" s="256"/>
      <c r="D53" s="40">
        <f t="shared" si="4"/>
        <v>12538.5</v>
      </c>
      <c r="E53" s="249"/>
      <c r="F53" s="82"/>
      <c r="G53" s="66"/>
      <c r="H53" s="66"/>
      <c r="I53" s="66">
        <f>1995+710.6</f>
        <v>2705.6</v>
      </c>
      <c r="J53" s="66"/>
      <c r="K53" s="66">
        <f>697.3+522.5</f>
        <v>1219.8</v>
      </c>
      <c r="L53" s="66"/>
      <c r="M53" s="66"/>
      <c r="N53" s="66"/>
      <c r="O53" s="66">
        <f>1339.5+418+209+1539+2052+1805+(208+184.8+159.8+698)</f>
        <v>8613.1</v>
      </c>
      <c r="P53" s="66"/>
      <c r="Q53" s="66"/>
      <c r="R53" s="178">
        <f t="shared" si="2"/>
        <v>12538.5</v>
      </c>
      <c r="T53" s="56"/>
    </row>
    <row r="54" spans="1:20" ht="15" customHeight="1" thickBot="1" x14ac:dyDescent="0.25">
      <c r="A54" s="252"/>
      <c r="B54" s="211" t="s">
        <v>119</v>
      </c>
      <c r="C54" s="256"/>
      <c r="D54" s="40">
        <f t="shared" si="4"/>
        <v>2529</v>
      </c>
      <c r="E54" s="249"/>
      <c r="F54" s="82"/>
      <c r="G54" s="66"/>
      <c r="H54" s="66"/>
      <c r="I54" s="66"/>
      <c r="J54" s="66"/>
      <c r="K54" s="66"/>
      <c r="L54" s="66"/>
      <c r="M54" s="66"/>
      <c r="N54" s="66"/>
      <c r="O54" s="66">
        <v>1485</v>
      </c>
      <c r="P54" s="66">
        <v>1044</v>
      </c>
      <c r="Q54" s="66"/>
      <c r="R54" s="186">
        <f t="shared" si="2"/>
        <v>2529</v>
      </c>
      <c r="T54" s="56"/>
    </row>
    <row r="55" spans="1:20" ht="15" customHeight="1" thickBot="1" x14ac:dyDescent="0.25">
      <c r="A55" s="252"/>
      <c r="B55" s="211" t="s">
        <v>121</v>
      </c>
      <c r="C55" s="256"/>
      <c r="D55" s="40">
        <f t="shared" si="4"/>
        <v>10970.65</v>
      </c>
      <c r="E55" s="249"/>
      <c r="F55" s="82"/>
      <c r="G55" s="66"/>
      <c r="H55" s="66"/>
      <c r="I55" s="66"/>
      <c r="J55" s="66"/>
      <c r="K55" s="66"/>
      <c r="L55" s="66"/>
      <c r="M55" s="66"/>
      <c r="N55" s="66"/>
      <c r="O55" s="66"/>
      <c r="P55" s="66">
        <f>320+10650.65</f>
        <v>10970.65</v>
      </c>
      <c r="Q55" s="66"/>
      <c r="R55" s="186">
        <f t="shared" si="2"/>
        <v>10970.65</v>
      </c>
      <c r="T55" s="56"/>
    </row>
    <row r="56" spans="1:20" ht="15" customHeight="1" thickBot="1" x14ac:dyDescent="0.25">
      <c r="A56" s="252"/>
      <c r="B56" s="211" t="s">
        <v>108</v>
      </c>
      <c r="C56" s="256"/>
      <c r="D56" s="40">
        <f t="shared" si="4"/>
        <v>1000</v>
      </c>
      <c r="E56" s="249"/>
      <c r="F56" s="82"/>
      <c r="G56" s="66"/>
      <c r="H56" s="66"/>
      <c r="I56" s="66"/>
      <c r="J56" s="66"/>
      <c r="K56" s="66"/>
      <c r="L56" s="66">
        <v>1000</v>
      </c>
      <c r="M56" s="66"/>
      <c r="N56" s="66"/>
      <c r="O56" s="66"/>
      <c r="P56" s="66"/>
      <c r="Q56" s="66"/>
      <c r="R56" s="183">
        <f t="shared" si="2"/>
        <v>1000</v>
      </c>
      <c r="T56" s="56"/>
    </row>
    <row r="57" spans="1:20" ht="15.75" thickBot="1" x14ac:dyDescent="0.3">
      <c r="A57" s="253"/>
      <c r="B57" s="207" t="s">
        <v>39</v>
      </c>
      <c r="C57" s="234"/>
      <c r="D57" s="53">
        <f>SUM(D33:D56)</f>
        <v>349896.16000000003</v>
      </c>
      <c r="E57" s="250"/>
      <c r="F57" s="82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178"/>
      <c r="T57" s="56"/>
    </row>
    <row r="58" spans="1:20" ht="15.75" thickBot="1" x14ac:dyDescent="0.25">
      <c r="A58" s="258">
        <v>14</v>
      </c>
      <c r="B58" s="211" t="s">
        <v>47</v>
      </c>
      <c r="C58" s="233">
        <v>800000</v>
      </c>
      <c r="D58" s="3">
        <f t="shared" ref="D58:D67" si="5">R58</f>
        <v>71870.84</v>
      </c>
      <c r="E58" s="248">
        <f>C58-D68</f>
        <v>93840.790000000037</v>
      </c>
      <c r="F58" s="82"/>
      <c r="G58" s="66"/>
      <c r="H58" s="66"/>
      <c r="I58" s="66">
        <f>27360</f>
        <v>27360</v>
      </c>
      <c r="J58" s="66">
        <v>15009.48</v>
      </c>
      <c r="K58" s="66"/>
      <c r="L58" s="66"/>
      <c r="M58" s="66"/>
      <c r="N58" s="66"/>
      <c r="O58" s="66">
        <f>2500.22+27001.14</f>
        <v>29501.360000000001</v>
      </c>
      <c r="P58" s="66"/>
      <c r="Q58" s="66"/>
      <c r="R58" s="178">
        <f>SUM(F58:Q58)</f>
        <v>71870.84</v>
      </c>
    </row>
    <row r="59" spans="1:20" ht="13.5" customHeight="1" thickBot="1" x14ac:dyDescent="0.25">
      <c r="A59" s="259"/>
      <c r="B59" s="231" t="s">
        <v>130</v>
      </c>
      <c r="C59" s="256"/>
      <c r="D59" s="4">
        <f t="shared" si="5"/>
        <v>186730</v>
      </c>
      <c r="E59" s="249"/>
      <c r="F59" s="82"/>
      <c r="G59" s="66"/>
      <c r="H59" s="66"/>
      <c r="I59" s="66">
        <v>93365</v>
      </c>
      <c r="J59" s="66"/>
      <c r="K59" s="66">
        <v>93365</v>
      </c>
      <c r="L59" s="66"/>
      <c r="M59" s="66"/>
      <c r="N59" s="66"/>
      <c r="O59" s="66"/>
      <c r="P59" s="66"/>
      <c r="Q59" s="66"/>
      <c r="R59" s="186">
        <f>SUM(F59:Q59)</f>
        <v>186730</v>
      </c>
    </row>
    <row r="60" spans="1:20" ht="13.5" customHeight="1" thickBot="1" x14ac:dyDescent="0.25">
      <c r="A60" s="259"/>
      <c r="B60" s="232" t="s">
        <v>123</v>
      </c>
      <c r="C60" s="256"/>
      <c r="D60" s="4">
        <f t="shared" si="5"/>
        <v>122177</v>
      </c>
      <c r="E60" s="249"/>
      <c r="F60" s="82"/>
      <c r="G60" s="66"/>
      <c r="H60" s="66"/>
      <c r="I60" s="66"/>
      <c r="J60" s="66"/>
      <c r="K60" s="66"/>
      <c r="L60" s="66"/>
      <c r="M60" s="66"/>
      <c r="N60" s="66"/>
      <c r="O60" s="66"/>
      <c r="P60" s="66">
        <v>122177</v>
      </c>
      <c r="Q60" s="66"/>
      <c r="R60" s="186">
        <f>SUM(F60:Q60)</f>
        <v>122177</v>
      </c>
    </row>
    <row r="61" spans="1:20" ht="15" customHeight="1" thickBot="1" x14ac:dyDescent="0.25">
      <c r="A61" s="259"/>
      <c r="B61" s="208" t="s">
        <v>125</v>
      </c>
      <c r="C61" s="256"/>
      <c r="D61" s="4"/>
      <c r="E61" s="249"/>
      <c r="F61" s="82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186"/>
    </row>
    <row r="62" spans="1:20" ht="13.5" thickBot="1" x14ac:dyDescent="0.25">
      <c r="A62" s="259"/>
      <c r="B62" s="216" t="s">
        <v>126</v>
      </c>
      <c r="C62" s="256"/>
      <c r="D62" s="4">
        <f t="shared" si="5"/>
        <v>25881.88</v>
      </c>
      <c r="E62" s="249"/>
      <c r="F62" s="82"/>
      <c r="G62" s="66"/>
      <c r="H62" s="66"/>
      <c r="I62" s="66">
        <f>1900+874</f>
        <v>2774</v>
      </c>
      <c r="J62" s="66">
        <v>793</v>
      </c>
      <c r="K62" s="66">
        <f>13446+5516.48+542</f>
        <v>19504.48</v>
      </c>
      <c r="L62" s="66">
        <f>88+95+960+897+418.6+105.8+246</f>
        <v>2810.4</v>
      </c>
      <c r="M62" s="66"/>
      <c r="N62" s="66"/>
      <c r="O62" s="66"/>
      <c r="P62" s="66"/>
      <c r="Q62" s="66"/>
      <c r="R62" s="178">
        <f t="shared" ref="R62:R67" si="6">SUM(F62:Q62)</f>
        <v>25881.88</v>
      </c>
    </row>
    <row r="63" spans="1:20" ht="13.5" thickBot="1" x14ac:dyDescent="0.25">
      <c r="A63" s="259"/>
      <c r="B63" s="219" t="s">
        <v>109</v>
      </c>
      <c r="C63" s="256"/>
      <c r="D63" s="4">
        <f t="shared" si="5"/>
        <v>46252.819999999992</v>
      </c>
      <c r="E63" s="249"/>
      <c r="F63" s="82"/>
      <c r="G63" s="66"/>
      <c r="H63" s="66"/>
      <c r="I63" s="66"/>
      <c r="J63" s="66">
        <f>8015.5</f>
        <v>8015.5</v>
      </c>
      <c r="K63" s="66">
        <f>12758.4+4839.9</f>
        <v>17598.3</v>
      </c>
      <c r="L63" s="66">
        <f>3482.2+900+55.2+1460.96+4018.6+4797+798+296+296+1120</f>
        <v>17223.96</v>
      </c>
      <c r="M63" s="66"/>
      <c r="N63" s="66">
        <f>350+57</f>
        <v>407</v>
      </c>
      <c r="O63" s="66">
        <f>245</f>
        <v>245</v>
      </c>
      <c r="P63" s="66">
        <v>2763.06</v>
      </c>
      <c r="Q63" s="66"/>
      <c r="R63" s="178">
        <f t="shared" si="6"/>
        <v>46252.819999999992</v>
      </c>
    </row>
    <row r="64" spans="1:20" ht="13.5" thickBot="1" x14ac:dyDescent="0.25">
      <c r="A64" s="259"/>
      <c r="B64" s="217" t="s">
        <v>73</v>
      </c>
      <c r="C64" s="256"/>
      <c r="D64" s="4">
        <f t="shared" si="5"/>
        <v>77041.320000000007</v>
      </c>
      <c r="E64" s="249"/>
      <c r="F64" s="82"/>
      <c r="G64" s="66"/>
      <c r="H64" s="66"/>
      <c r="I64" s="66"/>
      <c r="J64" s="66"/>
      <c r="K64" s="66">
        <f>37800+4425+4038.52</f>
        <v>46263.519999999997</v>
      </c>
      <c r="L64" s="66">
        <f>1827.8+1950</f>
        <v>3777.8</v>
      </c>
      <c r="M64" s="66"/>
      <c r="N64" s="66">
        <v>27000</v>
      </c>
      <c r="O64" s="66"/>
      <c r="P64" s="66"/>
      <c r="Q64" s="66"/>
      <c r="R64" s="178">
        <f t="shared" si="6"/>
        <v>77041.320000000007</v>
      </c>
    </row>
    <row r="65" spans="1:20" ht="13.5" thickBot="1" x14ac:dyDescent="0.25">
      <c r="A65" s="259"/>
      <c r="B65" s="220" t="s">
        <v>110</v>
      </c>
      <c r="C65" s="256"/>
      <c r="D65" s="4">
        <f t="shared" si="5"/>
        <v>14805.35</v>
      </c>
      <c r="E65" s="249"/>
      <c r="F65" s="82"/>
      <c r="G65" s="66"/>
      <c r="H65" s="66"/>
      <c r="I65" s="66"/>
      <c r="J65" s="66"/>
      <c r="K65" s="66">
        <v>11505.35</v>
      </c>
      <c r="L65" s="66">
        <v>3300</v>
      </c>
      <c r="M65" s="66"/>
      <c r="N65" s="66"/>
      <c r="O65" s="66"/>
      <c r="P65" s="66"/>
      <c r="Q65" s="66"/>
      <c r="R65" s="178">
        <f t="shared" si="6"/>
        <v>14805.35</v>
      </c>
    </row>
    <row r="66" spans="1:20" ht="13.5" thickBot="1" x14ac:dyDescent="0.25">
      <c r="A66" s="259"/>
      <c r="B66" s="228" t="s">
        <v>74</v>
      </c>
      <c r="C66" s="256"/>
      <c r="D66" s="4">
        <f t="shared" si="5"/>
        <v>11400</v>
      </c>
      <c r="E66" s="249"/>
      <c r="F66" s="82"/>
      <c r="G66" s="66"/>
      <c r="H66" s="66"/>
      <c r="I66" s="66"/>
      <c r="J66" s="66"/>
      <c r="K66" s="66">
        <v>11400</v>
      </c>
      <c r="L66" s="66"/>
      <c r="M66" s="66"/>
      <c r="N66" s="66"/>
      <c r="O66" s="66"/>
      <c r="P66" s="66"/>
      <c r="Q66" s="66"/>
      <c r="R66" s="178">
        <f t="shared" si="6"/>
        <v>11400</v>
      </c>
    </row>
    <row r="67" spans="1:20" ht="15" customHeight="1" thickBot="1" x14ac:dyDescent="0.25">
      <c r="A67" s="259"/>
      <c r="B67" s="227" t="s">
        <v>55</v>
      </c>
      <c r="C67" s="256"/>
      <c r="D67" s="4">
        <f t="shared" si="5"/>
        <v>150000</v>
      </c>
      <c r="E67" s="249"/>
      <c r="F67" s="82"/>
      <c r="G67" s="66"/>
      <c r="H67" s="66"/>
      <c r="I67" s="66"/>
      <c r="J67" s="66"/>
      <c r="K67" s="66"/>
      <c r="L67" s="66">
        <v>45000</v>
      </c>
      <c r="M67" s="66">
        <v>78000</v>
      </c>
      <c r="N67" s="66"/>
      <c r="O67" s="66">
        <v>27000</v>
      </c>
      <c r="P67" s="66"/>
      <c r="Q67" s="66"/>
      <c r="R67" s="178">
        <f t="shared" si="6"/>
        <v>150000</v>
      </c>
    </row>
    <row r="68" spans="1:20" ht="15" customHeight="1" thickBot="1" x14ac:dyDescent="0.3">
      <c r="A68" s="260"/>
      <c r="B68" s="207" t="s">
        <v>39</v>
      </c>
      <c r="C68" s="234"/>
      <c r="D68" s="51">
        <f>SUM(D58:D67)</f>
        <v>706159.21</v>
      </c>
      <c r="E68" s="250"/>
      <c r="F68" s="191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3"/>
    </row>
    <row r="69" spans="1:20" ht="15" customHeight="1" thickBot="1" x14ac:dyDescent="0.3">
      <c r="A69" s="8"/>
      <c r="B69" s="221" t="s">
        <v>51</v>
      </c>
      <c r="C69" s="53">
        <f>SUM(C13:C68)</f>
        <v>2400000</v>
      </c>
      <c r="D69" s="53">
        <f>D13+D14+D15+D18+D19+D23+D24+D28+D29+D31+D57+D68+D30+D32</f>
        <v>1700964.9899999998</v>
      </c>
      <c r="E69" s="190"/>
      <c r="F69" s="197">
        <f t="shared" ref="F69:Q69" si="7">SUM(F10:F68)</f>
        <v>104698.99</v>
      </c>
      <c r="G69" s="79">
        <f t="shared" si="7"/>
        <v>77086.61</v>
      </c>
      <c r="H69" s="79">
        <f t="shared" si="7"/>
        <v>26147.54</v>
      </c>
      <c r="I69" s="79">
        <f t="shared" si="7"/>
        <v>246394.7</v>
      </c>
      <c r="J69" s="79">
        <f t="shared" si="7"/>
        <v>69218.52</v>
      </c>
      <c r="K69" s="79">
        <f t="shared" si="7"/>
        <v>310340.52999999997</v>
      </c>
      <c r="L69" s="79">
        <f t="shared" si="7"/>
        <v>134765.83000000002</v>
      </c>
      <c r="M69" s="79">
        <f t="shared" si="7"/>
        <v>93609.64</v>
      </c>
      <c r="N69" s="79">
        <f t="shared" si="7"/>
        <v>39007.99</v>
      </c>
      <c r="O69" s="79">
        <f t="shared" si="7"/>
        <v>357931.69999999995</v>
      </c>
      <c r="P69" s="79">
        <f t="shared" si="7"/>
        <v>166128.97</v>
      </c>
      <c r="Q69" s="79">
        <f t="shared" si="7"/>
        <v>75633.97</v>
      </c>
      <c r="R69" s="198">
        <f>SUM(F69:Q69)</f>
        <v>1700964.9899999998</v>
      </c>
    </row>
    <row r="70" spans="1:20" ht="18" customHeight="1" thickBot="1" x14ac:dyDescent="0.3">
      <c r="A70" s="6"/>
      <c r="B70" s="225" t="s">
        <v>116</v>
      </c>
      <c r="C70" s="12"/>
      <c r="D70" s="226">
        <f>D8-D69</f>
        <v>173602.84000000032</v>
      </c>
      <c r="E70" s="194"/>
      <c r="F70" s="195"/>
      <c r="G70" s="68"/>
      <c r="H70" s="69"/>
      <c r="I70" s="69"/>
      <c r="J70" s="68"/>
      <c r="K70" s="70"/>
      <c r="L70" s="70"/>
      <c r="M70" s="68"/>
      <c r="N70" s="68"/>
      <c r="O70" s="68"/>
      <c r="P70" s="68"/>
      <c r="Q70" s="68"/>
      <c r="R70" s="196"/>
    </row>
    <row r="71" spans="1:20" x14ac:dyDescent="0.2">
      <c r="B71" s="222" t="s">
        <v>6</v>
      </c>
      <c r="C71" s="21"/>
      <c r="D71" s="15" t="s">
        <v>24</v>
      </c>
      <c r="E71" s="15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T71" s="58"/>
    </row>
    <row r="72" spans="1:20" x14ac:dyDescent="0.2">
      <c r="B72" s="223" t="s">
        <v>7</v>
      </c>
      <c r="C72" s="80"/>
      <c r="D72" s="81" t="s">
        <v>8</v>
      </c>
      <c r="E72" s="2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20" x14ac:dyDescent="0.2">
      <c r="R73" s="74"/>
    </row>
    <row r="74" spans="1:20" x14ac:dyDescent="0.2">
      <c r="F74" s="75"/>
      <c r="G74" s="75"/>
    </row>
    <row r="75" spans="1:20" x14ac:dyDescent="0.2">
      <c r="F75" s="76"/>
      <c r="G75" s="72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7"/>
      <c r="S75" s="59"/>
      <c r="T75" s="57"/>
    </row>
    <row r="76" spans="1:20" x14ac:dyDescent="0.2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8"/>
      <c r="S76" s="59"/>
      <c r="T76" s="59"/>
    </row>
    <row r="77" spans="1:20" x14ac:dyDescent="0.2"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7"/>
      <c r="S77" s="59"/>
      <c r="T77" s="59"/>
    </row>
    <row r="81" spans="7:14" x14ac:dyDescent="0.2">
      <c r="G81" s="73"/>
    </row>
    <row r="84" spans="7:14" x14ac:dyDescent="0.2">
      <c r="N84" s="73"/>
    </row>
  </sheetData>
  <mergeCells count="31">
    <mergeCell ref="A33:A57"/>
    <mergeCell ref="E58:E68"/>
    <mergeCell ref="C16:C17"/>
    <mergeCell ref="A16:A17"/>
    <mergeCell ref="E16:E17"/>
    <mergeCell ref="E20:E23"/>
    <mergeCell ref="E25:E28"/>
    <mergeCell ref="C58:C68"/>
    <mergeCell ref="E30:E31"/>
    <mergeCell ref="C33:C57"/>
    <mergeCell ref="C20:C23"/>
    <mergeCell ref="C25:C28"/>
    <mergeCell ref="C30:C31"/>
    <mergeCell ref="A58:A68"/>
    <mergeCell ref="E33:E57"/>
    <mergeCell ref="D30:D31"/>
    <mergeCell ref="C10:C11"/>
    <mergeCell ref="A1:E1"/>
    <mergeCell ref="R3:R4"/>
    <mergeCell ref="F3:F5"/>
    <mergeCell ref="G3:G5"/>
    <mergeCell ref="H3:H5"/>
    <mergeCell ref="I3:I5"/>
    <mergeCell ref="J3:J5"/>
    <mergeCell ref="K3:K5"/>
    <mergeCell ref="L3:L5"/>
    <mergeCell ref="M3:M5"/>
    <mergeCell ref="A2:C2"/>
    <mergeCell ref="E3:E5"/>
    <mergeCell ref="C3:D3"/>
    <mergeCell ref="E10:E13"/>
  </mergeCells>
  <phoneticPr fontId="3" type="noConversion"/>
  <pageMargins left="0.59055118110236227" right="0.19685039370078741" top="0" bottom="0" header="0.51181102362204722" footer="0.51181102362204722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3" workbookViewId="0">
      <selection activeCell="H20" sqref="H20"/>
    </sheetView>
  </sheetViews>
  <sheetFormatPr defaultRowHeight="12.75" x14ac:dyDescent="0.2"/>
  <cols>
    <col min="1" max="1" width="7.42578125" customWidth="1"/>
    <col min="2" max="2" width="14.85546875" bestFit="1" customWidth="1"/>
    <col min="3" max="4" width="18.28515625" bestFit="1" customWidth="1"/>
    <col min="5" max="5" width="33.140625" bestFit="1" customWidth="1"/>
    <col min="6" max="6" width="18.28515625" bestFit="1" customWidth="1"/>
    <col min="9" max="9" width="42.28515625" style="59" bestFit="1" customWidth="1"/>
    <col min="10" max="10" width="11.85546875" style="59" bestFit="1" customWidth="1"/>
    <col min="11" max="11" width="8.28515625" style="59" bestFit="1" customWidth="1"/>
    <col min="12" max="12" width="8.7109375" style="59" bestFit="1" customWidth="1"/>
    <col min="13" max="13" width="7.42578125" style="59" bestFit="1" customWidth="1"/>
    <col min="14" max="14" width="11.85546875" style="58" customWidth="1"/>
  </cols>
  <sheetData>
    <row r="1" spans="1:13" ht="15" x14ac:dyDescent="0.2">
      <c r="A1" s="235" t="s">
        <v>5</v>
      </c>
      <c r="B1" s="235"/>
      <c r="C1" s="235"/>
      <c r="D1" s="235"/>
      <c r="E1" s="235"/>
    </row>
    <row r="2" spans="1:13" ht="19.5" thickBot="1" x14ac:dyDescent="0.35">
      <c r="A2" s="269" t="s">
        <v>78</v>
      </c>
      <c r="B2" s="269"/>
      <c r="C2" s="269"/>
      <c r="D2" s="269"/>
      <c r="E2" s="269"/>
      <c r="F2" s="84"/>
      <c r="I2" s="111"/>
      <c r="J2" s="112"/>
      <c r="K2" s="110"/>
      <c r="L2" s="110"/>
      <c r="M2" s="110"/>
    </row>
    <row r="3" spans="1:13" ht="75.75" thickBot="1" x14ac:dyDescent="0.3">
      <c r="A3" s="85" t="s">
        <v>79</v>
      </c>
      <c r="B3" s="86" t="s">
        <v>80</v>
      </c>
      <c r="C3" s="86" t="s">
        <v>81</v>
      </c>
      <c r="D3" s="86" t="s">
        <v>82</v>
      </c>
      <c r="E3" s="86" t="s">
        <v>83</v>
      </c>
      <c r="F3" s="87" t="s">
        <v>84</v>
      </c>
      <c r="I3" s="111"/>
      <c r="J3" s="112"/>
      <c r="K3" s="110"/>
      <c r="L3" s="110"/>
      <c r="M3" s="110"/>
    </row>
    <row r="4" spans="1:13" ht="19.5" thickBot="1" x14ac:dyDescent="0.35">
      <c r="A4" s="270" t="s">
        <v>85</v>
      </c>
      <c r="B4" s="271"/>
      <c r="C4" s="271"/>
      <c r="D4" s="271"/>
      <c r="E4" s="88">
        <v>154076.63</v>
      </c>
      <c r="F4" s="89"/>
      <c r="I4" s="113"/>
      <c r="J4" s="112"/>
      <c r="K4" s="110"/>
      <c r="L4" s="110"/>
      <c r="M4" s="110"/>
    </row>
    <row r="5" spans="1:13" ht="15.95" customHeight="1" x14ac:dyDescent="0.25">
      <c r="A5" s="263">
        <v>1</v>
      </c>
      <c r="B5" s="266" t="s">
        <v>86</v>
      </c>
      <c r="C5" s="275">
        <v>331922.75</v>
      </c>
      <c r="D5" s="131">
        <v>49966</v>
      </c>
      <c r="E5" s="132" t="s">
        <v>61</v>
      </c>
      <c r="F5" s="272">
        <f>E4+C20-D20</f>
        <v>278066.24</v>
      </c>
      <c r="I5" s="114"/>
      <c r="J5" s="114"/>
      <c r="K5" s="75"/>
      <c r="L5" s="75"/>
      <c r="M5" s="75"/>
    </row>
    <row r="6" spans="1:13" ht="15.95" customHeight="1" x14ac:dyDescent="0.2">
      <c r="A6" s="264"/>
      <c r="B6" s="267"/>
      <c r="C6" s="276"/>
      <c r="D6" s="126">
        <v>3150</v>
      </c>
      <c r="E6" s="128" t="s">
        <v>57</v>
      </c>
      <c r="F6" s="273"/>
      <c r="I6" s="114"/>
      <c r="J6" s="114"/>
      <c r="K6" s="75"/>
      <c r="L6" s="75"/>
      <c r="M6" s="75"/>
    </row>
    <row r="7" spans="1:13" ht="15.95" customHeight="1" x14ac:dyDescent="0.2">
      <c r="A7" s="264"/>
      <c r="B7" s="267"/>
      <c r="C7" s="276"/>
      <c r="D7" s="126">
        <v>10676</v>
      </c>
      <c r="E7" s="128" t="s">
        <v>54</v>
      </c>
      <c r="F7" s="273"/>
      <c r="I7" s="114"/>
      <c r="J7" s="114"/>
      <c r="K7" s="75"/>
      <c r="L7" s="75"/>
      <c r="M7" s="75"/>
    </row>
    <row r="8" spans="1:13" ht="15.95" customHeight="1" x14ac:dyDescent="0.2">
      <c r="A8" s="264"/>
      <c r="B8" s="267"/>
      <c r="C8" s="276"/>
      <c r="D8" s="126">
        <v>2844.3</v>
      </c>
      <c r="E8" s="128" t="s">
        <v>63</v>
      </c>
      <c r="F8" s="273"/>
      <c r="I8" s="114"/>
      <c r="J8" s="114"/>
      <c r="K8" s="75"/>
      <c r="L8" s="75"/>
      <c r="M8" s="75"/>
    </row>
    <row r="9" spans="1:13" ht="15.95" customHeight="1" x14ac:dyDescent="0.2">
      <c r="A9" s="264"/>
      <c r="B9" s="267"/>
      <c r="C9" s="276"/>
      <c r="D9" s="108">
        <v>16738.53</v>
      </c>
      <c r="E9" s="128" t="s">
        <v>96</v>
      </c>
      <c r="F9" s="273"/>
      <c r="I9" s="114"/>
      <c r="J9" s="114"/>
      <c r="K9" s="75"/>
      <c r="L9" s="75"/>
      <c r="M9" s="75"/>
    </row>
    <row r="10" spans="1:13" ht="15.95" customHeight="1" x14ac:dyDescent="0.2">
      <c r="A10" s="264"/>
      <c r="B10" s="267"/>
      <c r="C10" s="276"/>
      <c r="D10" s="126">
        <v>25387.439999999999</v>
      </c>
      <c r="E10" s="128" t="s">
        <v>64</v>
      </c>
      <c r="F10" s="273"/>
      <c r="I10" s="114"/>
      <c r="J10" s="114"/>
      <c r="K10" s="75"/>
      <c r="L10" s="75"/>
      <c r="M10" s="75"/>
    </row>
    <row r="11" spans="1:13" ht="15.95" customHeight="1" x14ac:dyDescent="0.2">
      <c r="A11" s="264"/>
      <c r="B11" s="267"/>
      <c r="C11" s="276"/>
      <c r="D11" s="126">
        <v>5265</v>
      </c>
      <c r="E11" s="128" t="s">
        <v>95</v>
      </c>
      <c r="F11" s="273"/>
      <c r="I11" s="114"/>
      <c r="J11" s="114"/>
      <c r="K11" s="75"/>
      <c r="L11" s="75"/>
      <c r="M11" s="75"/>
    </row>
    <row r="12" spans="1:13" ht="15.95" customHeight="1" x14ac:dyDescent="0.2">
      <c r="A12" s="264"/>
      <c r="B12" s="267"/>
      <c r="C12" s="276"/>
      <c r="D12" s="108">
        <f>1175+4188</f>
        <v>5363</v>
      </c>
      <c r="E12" s="128" t="s">
        <v>97</v>
      </c>
      <c r="F12" s="273"/>
      <c r="I12" s="114"/>
      <c r="J12" s="114"/>
      <c r="K12" s="75"/>
      <c r="L12" s="75"/>
      <c r="M12" s="75"/>
    </row>
    <row r="13" spans="1:13" ht="15.95" customHeight="1" x14ac:dyDescent="0.2">
      <c r="A13" s="264"/>
      <c r="B13" s="267"/>
      <c r="C13" s="276"/>
      <c r="D13" s="129">
        <v>15077.62</v>
      </c>
      <c r="E13" s="130" t="s">
        <v>98</v>
      </c>
      <c r="F13" s="273"/>
      <c r="I13" s="114"/>
      <c r="J13" s="114"/>
      <c r="K13" s="75"/>
      <c r="L13" s="75"/>
      <c r="M13" s="75"/>
    </row>
    <row r="14" spans="1:13" ht="15.95" customHeight="1" x14ac:dyDescent="0.25">
      <c r="A14" s="264"/>
      <c r="B14" s="267"/>
      <c r="C14" s="276"/>
      <c r="D14" s="126">
        <v>24175</v>
      </c>
      <c r="E14" s="128" t="s">
        <v>77</v>
      </c>
      <c r="F14" s="273"/>
      <c r="I14" s="115"/>
      <c r="J14" s="113"/>
      <c r="K14" s="75"/>
      <c r="L14" s="75"/>
      <c r="M14" s="75"/>
    </row>
    <row r="15" spans="1:13" ht="15.95" customHeight="1" x14ac:dyDescent="0.2">
      <c r="A15" s="264"/>
      <c r="B15" s="267"/>
      <c r="C15" s="276"/>
      <c r="D15" s="126">
        <v>3640</v>
      </c>
      <c r="E15" s="128" t="s">
        <v>72</v>
      </c>
      <c r="F15" s="273"/>
      <c r="I15" s="56"/>
      <c r="J15" s="116"/>
      <c r="K15" s="75"/>
      <c r="L15" s="75"/>
      <c r="M15" s="75"/>
    </row>
    <row r="16" spans="1:13" ht="15.95" customHeight="1" x14ac:dyDescent="0.2">
      <c r="A16" s="264"/>
      <c r="B16" s="267"/>
      <c r="C16" s="276"/>
      <c r="D16" s="126">
        <v>2500</v>
      </c>
      <c r="E16" s="128" t="s">
        <v>99</v>
      </c>
      <c r="F16" s="273"/>
      <c r="I16" s="56"/>
      <c r="J16" s="116"/>
      <c r="K16" s="75"/>
      <c r="L16" s="75"/>
      <c r="M16" s="75"/>
    </row>
    <row r="17" spans="1:13" ht="15.95" customHeight="1" x14ac:dyDescent="0.25">
      <c r="A17" s="264"/>
      <c r="B17" s="267"/>
      <c r="C17" s="276"/>
      <c r="D17" s="107">
        <v>24033.75</v>
      </c>
      <c r="E17" s="127" t="s">
        <v>11</v>
      </c>
      <c r="F17" s="273"/>
      <c r="I17" s="117"/>
      <c r="J17" s="116"/>
      <c r="K17" s="75"/>
      <c r="L17" s="75"/>
      <c r="M17" s="75"/>
    </row>
    <row r="18" spans="1:13" ht="15.95" customHeight="1" x14ac:dyDescent="0.2">
      <c r="A18" s="264"/>
      <c r="B18" s="267"/>
      <c r="C18" s="276"/>
      <c r="D18" s="108">
        <f>4309.5+10045</f>
        <v>14354.5</v>
      </c>
      <c r="E18" s="128" t="s">
        <v>3</v>
      </c>
      <c r="F18" s="273"/>
      <c r="I18" s="56"/>
      <c r="J18" s="116"/>
      <c r="K18" s="75"/>
      <c r="L18" s="75"/>
      <c r="M18" s="75"/>
    </row>
    <row r="19" spans="1:13" ht="15.95" customHeight="1" thickBot="1" x14ac:dyDescent="0.25">
      <c r="A19" s="265"/>
      <c r="B19" s="268"/>
      <c r="C19" s="277"/>
      <c r="D19" s="133">
        <v>4762</v>
      </c>
      <c r="E19" s="134" t="s">
        <v>19</v>
      </c>
      <c r="F19" s="274"/>
      <c r="I19" s="56"/>
      <c r="J19" s="116"/>
      <c r="K19" s="75"/>
      <c r="L19" s="75"/>
      <c r="M19" s="75"/>
    </row>
    <row r="20" spans="1:13" ht="22.5" customHeight="1" thickBot="1" x14ac:dyDescent="0.35">
      <c r="A20" s="261" t="s">
        <v>87</v>
      </c>
      <c r="B20" s="262"/>
      <c r="C20" s="123">
        <f>SUM(C5)</f>
        <v>331922.75</v>
      </c>
      <c r="D20" s="125">
        <f>SUM(D5:D19)</f>
        <v>207933.14</v>
      </c>
      <c r="E20" s="92"/>
      <c r="F20" s="124">
        <f>SUM(F5)</f>
        <v>278066.24</v>
      </c>
      <c r="I20" s="56"/>
      <c r="J20" s="116"/>
      <c r="K20" s="75"/>
      <c r="L20" s="75"/>
      <c r="M20" s="75"/>
    </row>
    <row r="21" spans="1:13" ht="20.25" customHeight="1" thickBot="1" x14ac:dyDescent="0.35">
      <c r="A21" s="261" t="s">
        <v>88</v>
      </c>
      <c r="B21" s="262"/>
      <c r="C21" s="90"/>
      <c r="D21" s="91"/>
      <c r="E21" s="94"/>
      <c r="F21" s="93"/>
      <c r="I21" s="56"/>
      <c r="J21" s="116"/>
      <c r="K21" s="75"/>
      <c r="L21" s="75"/>
      <c r="M21" s="75"/>
    </row>
    <row r="22" spans="1:13" ht="19.5" thickBot="1" x14ac:dyDescent="0.35">
      <c r="A22" s="261" t="s">
        <v>89</v>
      </c>
      <c r="B22" s="262"/>
      <c r="C22" s="90"/>
      <c r="D22" s="97"/>
      <c r="E22" s="98"/>
      <c r="F22" s="95"/>
      <c r="I22" s="118"/>
      <c r="J22" s="119"/>
      <c r="K22" s="75"/>
      <c r="L22" s="75"/>
      <c r="M22" s="75"/>
    </row>
    <row r="23" spans="1:13" ht="19.5" thickBot="1" x14ac:dyDescent="0.35">
      <c r="A23" s="280" t="s">
        <v>90</v>
      </c>
      <c r="B23" s="281"/>
      <c r="C23" s="96"/>
      <c r="D23" s="140"/>
      <c r="E23" s="98"/>
      <c r="F23" s="135"/>
      <c r="I23" s="120"/>
      <c r="J23" s="119"/>
      <c r="K23" s="75"/>
      <c r="L23" s="75"/>
      <c r="M23" s="75"/>
    </row>
    <row r="24" spans="1:13" ht="19.5" thickBot="1" x14ac:dyDescent="0.35">
      <c r="A24" s="282" t="s">
        <v>91</v>
      </c>
      <c r="B24" s="283"/>
      <c r="C24" s="99">
        <f>SUM(C20:C23)</f>
        <v>331922.75</v>
      </c>
      <c r="D24" s="182">
        <f>SUM(D20:D23)</f>
        <v>207933.14</v>
      </c>
      <c r="E24" s="141"/>
      <c r="F24" s="142"/>
      <c r="I24" s="121"/>
      <c r="J24" s="122"/>
      <c r="K24" s="71"/>
      <c r="L24" s="71"/>
      <c r="M24" s="71"/>
    </row>
    <row r="25" spans="1:13" ht="19.5" thickBot="1" x14ac:dyDescent="0.35">
      <c r="A25" s="106"/>
      <c r="B25" s="143"/>
      <c r="C25" s="144"/>
      <c r="D25" s="100" t="s">
        <v>92</v>
      </c>
      <c r="E25" s="278">
        <f>F20</f>
        <v>278066.24</v>
      </c>
      <c r="F25" s="279"/>
      <c r="I25" s="121"/>
      <c r="J25" s="122"/>
      <c r="K25" s="71"/>
      <c r="L25" s="71"/>
      <c r="M25" s="71"/>
    </row>
    <row r="26" spans="1:13" ht="18.75" x14ac:dyDescent="0.3">
      <c r="A26" s="101"/>
      <c r="B26" s="136" t="s">
        <v>93</v>
      </c>
      <c r="C26" s="137"/>
      <c r="D26" s="138"/>
      <c r="E26" s="139" t="s">
        <v>24</v>
      </c>
      <c r="F26" s="146"/>
    </row>
    <row r="27" spans="1:13" ht="18.75" x14ac:dyDescent="0.3">
      <c r="A27" s="101"/>
      <c r="B27" s="103" t="s">
        <v>94</v>
      </c>
      <c r="C27" s="104"/>
      <c r="D27" s="145"/>
      <c r="E27" s="105" t="s">
        <v>8</v>
      </c>
      <c r="F27" s="102"/>
    </row>
    <row r="28" spans="1:13" ht="13.5" customHeight="1" x14ac:dyDescent="0.3">
      <c r="F28" s="102"/>
    </row>
    <row r="38" ht="15" customHeight="1" x14ac:dyDescent="0.2"/>
    <row r="39" ht="15" customHeight="1" x14ac:dyDescent="0.2"/>
    <row r="40" ht="13.5" customHeight="1" x14ac:dyDescent="0.2"/>
    <row r="51" ht="13.5" customHeight="1" x14ac:dyDescent="0.2"/>
    <row r="57" ht="13.5" customHeight="1" x14ac:dyDescent="0.2"/>
    <row r="58" ht="13.5" customHeight="1" x14ac:dyDescent="0.2"/>
  </sheetData>
  <mergeCells count="13">
    <mergeCell ref="F5:F19"/>
    <mergeCell ref="C5:C19"/>
    <mergeCell ref="E25:F25"/>
    <mergeCell ref="A22:B22"/>
    <mergeCell ref="A23:B23"/>
    <mergeCell ref="A24:B24"/>
    <mergeCell ref="A1:E1"/>
    <mergeCell ref="A20:B20"/>
    <mergeCell ref="A21:B21"/>
    <mergeCell ref="A5:A19"/>
    <mergeCell ref="B5:B19"/>
    <mergeCell ref="A2:E2"/>
    <mergeCell ref="A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I18" sqref="I18"/>
    </sheetView>
  </sheetViews>
  <sheetFormatPr defaultRowHeight="12.75" x14ac:dyDescent="0.2"/>
  <cols>
    <col min="1" max="1" width="3.85546875" customWidth="1"/>
    <col min="2" max="2" width="9.5703125" customWidth="1"/>
    <col min="3" max="3" width="14.5703125" customWidth="1"/>
    <col min="4" max="4" width="16.140625" customWidth="1"/>
    <col min="5" max="5" width="37.140625" customWidth="1"/>
    <col min="6" max="6" width="14.85546875" customWidth="1"/>
    <col min="8" max="8" width="42.28515625" style="109" bestFit="1" customWidth="1"/>
    <col min="9" max="9" width="11.85546875" style="109" bestFit="1" customWidth="1"/>
    <col min="10" max="12" width="8.28515625" style="109" bestFit="1" customWidth="1"/>
    <col min="13" max="13" width="11.85546875" style="109" customWidth="1"/>
  </cols>
  <sheetData>
    <row r="1" spans="1:13" ht="15" customHeight="1" x14ac:dyDescent="0.2">
      <c r="A1" s="235" t="s">
        <v>5</v>
      </c>
      <c r="B1" s="235"/>
      <c r="C1" s="235"/>
      <c r="D1" s="235"/>
      <c r="E1" s="235"/>
      <c r="H1" s="59"/>
      <c r="I1" s="59"/>
      <c r="J1" s="59"/>
      <c r="K1" s="59"/>
      <c r="L1" s="59"/>
      <c r="M1" s="59"/>
    </row>
    <row r="2" spans="1:13" ht="19.5" thickBot="1" x14ac:dyDescent="0.35">
      <c r="A2" s="269" t="s">
        <v>78</v>
      </c>
      <c r="B2" s="269"/>
      <c r="C2" s="269"/>
      <c r="D2" s="269"/>
      <c r="E2" s="269"/>
      <c r="F2" s="84"/>
      <c r="H2" s="111"/>
      <c r="I2" s="112"/>
      <c r="J2" s="312"/>
      <c r="K2" s="312"/>
      <c r="L2" s="312"/>
      <c r="M2" s="59"/>
    </row>
    <row r="3" spans="1:13" ht="60.75" thickBot="1" x14ac:dyDescent="0.3">
      <c r="A3" s="147" t="s">
        <v>79</v>
      </c>
      <c r="B3" s="148" t="s">
        <v>80</v>
      </c>
      <c r="C3" s="148" t="s">
        <v>81</v>
      </c>
      <c r="D3" s="148" t="s">
        <v>82</v>
      </c>
      <c r="E3" s="148" t="s">
        <v>83</v>
      </c>
      <c r="F3" s="149" t="s">
        <v>84</v>
      </c>
      <c r="G3" s="109"/>
      <c r="H3" s="111"/>
      <c r="I3" s="159"/>
      <c r="J3" s="312"/>
      <c r="K3" s="312"/>
      <c r="L3" s="312"/>
      <c r="M3" s="59"/>
    </row>
    <row r="4" spans="1:13" ht="19.5" thickBot="1" x14ac:dyDescent="0.35">
      <c r="A4" s="270" t="s">
        <v>85</v>
      </c>
      <c r="B4" s="271"/>
      <c r="C4" s="271"/>
      <c r="D4" s="271"/>
      <c r="E4" s="88">
        <v>154076.63</v>
      </c>
      <c r="F4" s="89"/>
      <c r="G4" s="109"/>
      <c r="H4" s="113"/>
      <c r="I4" s="113"/>
      <c r="J4" s="312"/>
      <c r="K4" s="312"/>
      <c r="L4" s="312"/>
      <c r="M4" s="59"/>
    </row>
    <row r="5" spans="1:13" ht="14.25" customHeight="1" x14ac:dyDescent="0.25">
      <c r="A5" s="288">
        <v>1</v>
      </c>
      <c r="B5" s="291" t="s">
        <v>86</v>
      </c>
      <c r="C5" s="294">
        <v>331922.75</v>
      </c>
      <c r="D5" s="131">
        <v>49966</v>
      </c>
      <c r="E5" s="132" t="s">
        <v>61</v>
      </c>
      <c r="F5" s="309">
        <f>E4+C20-D20</f>
        <v>278066.24</v>
      </c>
      <c r="G5" s="109"/>
      <c r="H5" s="114"/>
      <c r="I5" s="114"/>
      <c r="J5" s="75"/>
      <c r="K5" s="75"/>
      <c r="L5" s="75"/>
      <c r="M5" s="59"/>
    </row>
    <row r="6" spans="1:13" ht="14.25" customHeight="1" x14ac:dyDescent="0.25">
      <c r="A6" s="289"/>
      <c r="B6" s="292"/>
      <c r="C6" s="295"/>
      <c r="D6" s="126">
        <v>3150</v>
      </c>
      <c r="E6" s="128" t="s">
        <v>57</v>
      </c>
      <c r="F6" s="310"/>
      <c r="G6" s="109"/>
      <c r="H6" s="115"/>
      <c r="I6" s="113"/>
      <c r="J6" s="75"/>
      <c r="K6" s="71"/>
      <c r="L6" s="75"/>
      <c r="M6" s="59"/>
    </row>
    <row r="7" spans="1:13" ht="14.25" customHeight="1" x14ac:dyDescent="0.2">
      <c r="A7" s="289"/>
      <c r="B7" s="292"/>
      <c r="C7" s="295"/>
      <c r="D7" s="126">
        <v>10676</v>
      </c>
      <c r="E7" s="128" t="s">
        <v>54</v>
      </c>
      <c r="F7" s="310"/>
      <c r="G7" s="109"/>
      <c r="H7" s="160"/>
      <c r="I7" s="114"/>
      <c r="J7" s="75"/>
      <c r="K7" s="75"/>
      <c r="L7" s="75"/>
      <c r="M7" s="59"/>
    </row>
    <row r="8" spans="1:13" ht="14.25" customHeight="1" x14ac:dyDescent="0.2">
      <c r="A8" s="289"/>
      <c r="B8" s="292"/>
      <c r="C8" s="295"/>
      <c r="D8" s="126">
        <v>2844.3</v>
      </c>
      <c r="E8" s="128" t="s">
        <v>63</v>
      </c>
      <c r="F8" s="310"/>
      <c r="G8" s="109"/>
      <c r="H8" s="114"/>
      <c r="I8" s="114"/>
      <c r="J8" s="75"/>
      <c r="K8" s="75"/>
      <c r="L8" s="75"/>
      <c r="M8" s="59"/>
    </row>
    <row r="9" spans="1:13" ht="14.25" customHeight="1" x14ac:dyDescent="0.25">
      <c r="A9" s="289"/>
      <c r="B9" s="292"/>
      <c r="C9" s="295"/>
      <c r="D9" s="108">
        <v>16738.53</v>
      </c>
      <c r="E9" s="128" t="s">
        <v>96</v>
      </c>
      <c r="F9" s="310"/>
      <c r="G9" s="109"/>
      <c r="H9" s="161"/>
      <c r="I9" s="162"/>
      <c r="J9" s="71"/>
      <c r="K9" s="71"/>
      <c r="L9" s="71"/>
      <c r="M9" s="59"/>
    </row>
    <row r="10" spans="1:13" ht="14.25" customHeight="1" x14ac:dyDescent="0.2">
      <c r="A10" s="289"/>
      <c r="B10" s="292"/>
      <c r="C10" s="295"/>
      <c r="D10" s="126">
        <v>25387.439999999999</v>
      </c>
      <c r="E10" s="128" t="s">
        <v>64</v>
      </c>
      <c r="F10" s="310"/>
      <c r="G10" s="109"/>
      <c r="H10" s="56"/>
      <c r="I10" s="163"/>
      <c r="J10" s="75"/>
      <c r="K10" s="75"/>
      <c r="L10" s="75"/>
      <c r="M10" s="59"/>
    </row>
    <row r="11" spans="1:13" ht="14.25" customHeight="1" x14ac:dyDescent="0.2">
      <c r="A11" s="289"/>
      <c r="B11" s="292"/>
      <c r="C11" s="295"/>
      <c r="D11" s="126">
        <v>5265</v>
      </c>
      <c r="E11" s="128" t="s">
        <v>95</v>
      </c>
      <c r="F11" s="310"/>
      <c r="G11" s="109"/>
      <c r="H11" s="56"/>
      <c r="I11" s="163"/>
      <c r="J11" s="75"/>
      <c r="K11" s="75"/>
      <c r="L11" s="75"/>
      <c r="M11" s="59"/>
    </row>
    <row r="12" spans="1:13" ht="14.25" customHeight="1" x14ac:dyDescent="0.25">
      <c r="A12" s="289"/>
      <c r="B12" s="292"/>
      <c r="C12" s="295"/>
      <c r="D12" s="108">
        <f>1175+4188</f>
        <v>5363</v>
      </c>
      <c r="E12" s="128" t="s">
        <v>97</v>
      </c>
      <c r="F12" s="310"/>
      <c r="G12" s="109"/>
      <c r="H12" s="161"/>
      <c r="I12" s="164"/>
      <c r="J12" s="75"/>
      <c r="K12" s="75"/>
      <c r="L12" s="75"/>
      <c r="M12" s="59"/>
    </row>
    <row r="13" spans="1:13" ht="14.25" customHeight="1" x14ac:dyDescent="0.2">
      <c r="A13" s="289"/>
      <c r="B13" s="292"/>
      <c r="C13" s="295"/>
      <c r="D13" s="129">
        <v>15077.62</v>
      </c>
      <c r="E13" s="130" t="s">
        <v>98</v>
      </c>
      <c r="F13" s="310"/>
      <c r="G13" s="109"/>
      <c r="H13" s="56"/>
      <c r="I13" s="162"/>
      <c r="J13" s="75"/>
      <c r="K13" s="75"/>
      <c r="L13" s="75"/>
      <c r="M13" s="59"/>
    </row>
    <row r="14" spans="1:13" ht="14.25" customHeight="1" x14ac:dyDescent="0.2">
      <c r="A14" s="289"/>
      <c r="B14" s="292"/>
      <c r="C14" s="295"/>
      <c r="D14" s="126">
        <v>24175</v>
      </c>
      <c r="E14" s="128" t="s">
        <v>77</v>
      </c>
      <c r="F14" s="310"/>
      <c r="G14" s="109"/>
      <c r="H14" s="56"/>
      <c r="I14" s="163"/>
      <c r="J14" s="75"/>
      <c r="K14" s="75"/>
      <c r="L14" s="75"/>
      <c r="M14" s="59"/>
    </row>
    <row r="15" spans="1:13" ht="14.25" customHeight="1" x14ac:dyDescent="0.2">
      <c r="A15" s="289"/>
      <c r="B15" s="292"/>
      <c r="C15" s="295"/>
      <c r="D15" s="126">
        <v>3640</v>
      </c>
      <c r="E15" s="128" t="s">
        <v>72</v>
      </c>
      <c r="F15" s="310"/>
      <c r="G15" s="109"/>
      <c r="H15" s="56"/>
      <c r="I15" s="162"/>
      <c r="J15" s="75"/>
      <c r="K15" s="75"/>
      <c r="L15" s="75"/>
      <c r="M15" s="59"/>
    </row>
    <row r="16" spans="1:13" ht="14.25" customHeight="1" x14ac:dyDescent="0.2">
      <c r="A16" s="289"/>
      <c r="B16" s="292"/>
      <c r="C16" s="295"/>
      <c r="D16" s="126">
        <v>2500</v>
      </c>
      <c r="E16" s="128" t="s">
        <v>99</v>
      </c>
      <c r="F16" s="310"/>
      <c r="G16" s="109"/>
      <c r="H16" s="56"/>
      <c r="I16" s="162"/>
      <c r="J16" s="75"/>
      <c r="K16" s="75"/>
      <c r="L16" s="75"/>
      <c r="M16" s="59"/>
    </row>
    <row r="17" spans="1:13" ht="14.25" customHeight="1" x14ac:dyDescent="0.25">
      <c r="A17" s="289"/>
      <c r="B17" s="292"/>
      <c r="C17" s="295"/>
      <c r="D17" s="107">
        <v>24033.75</v>
      </c>
      <c r="E17" s="127" t="s">
        <v>11</v>
      </c>
      <c r="F17" s="310"/>
      <c r="G17" s="109"/>
      <c r="H17" s="56"/>
      <c r="I17" s="162"/>
      <c r="J17" s="75"/>
      <c r="K17" s="75"/>
      <c r="L17" s="75"/>
      <c r="M17" s="59"/>
    </row>
    <row r="18" spans="1:13" ht="14.25" customHeight="1" x14ac:dyDescent="0.2">
      <c r="A18" s="289"/>
      <c r="B18" s="292"/>
      <c r="C18" s="295"/>
      <c r="D18" s="108">
        <f>4309.5+10045</f>
        <v>14354.5</v>
      </c>
      <c r="E18" s="128" t="s">
        <v>3</v>
      </c>
      <c r="F18" s="310"/>
      <c r="G18" s="109"/>
      <c r="H18" s="165"/>
      <c r="I18" s="162"/>
      <c r="J18" s="75"/>
      <c r="K18" s="75"/>
      <c r="L18" s="75"/>
      <c r="M18" s="59"/>
    </row>
    <row r="19" spans="1:13" ht="14.25" customHeight="1" thickBot="1" x14ac:dyDescent="0.25">
      <c r="A19" s="290"/>
      <c r="B19" s="293"/>
      <c r="C19" s="296"/>
      <c r="D19" s="133">
        <v>4762</v>
      </c>
      <c r="E19" s="134" t="s">
        <v>19</v>
      </c>
      <c r="F19" s="311"/>
      <c r="G19" s="109"/>
      <c r="H19" s="165"/>
      <c r="I19" s="162"/>
      <c r="J19" s="75"/>
      <c r="K19" s="75"/>
      <c r="L19" s="75"/>
      <c r="M19" s="59"/>
    </row>
    <row r="20" spans="1:13" ht="16.5" thickBot="1" x14ac:dyDescent="0.3">
      <c r="A20" s="284" t="s">
        <v>87</v>
      </c>
      <c r="B20" s="285"/>
      <c r="C20" s="150">
        <f>SUM(C5)</f>
        <v>331922.75</v>
      </c>
      <c r="D20" s="152">
        <f>SUM(D5:D19)</f>
        <v>207933.14</v>
      </c>
      <c r="E20" s="153"/>
      <c r="F20" s="151">
        <f>SUM(F5)</f>
        <v>278066.24</v>
      </c>
      <c r="G20" s="109"/>
      <c r="H20" s="56"/>
      <c r="I20" s="164"/>
      <c r="J20" s="75"/>
      <c r="K20" s="75"/>
      <c r="L20" s="75"/>
      <c r="M20" s="59"/>
    </row>
    <row r="21" spans="1:13" ht="14.25" customHeight="1" x14ac:dyDescent="0.25">
      <c r="A21" s="304">
        <v>2</v>
      </c>
      <c r="B21" s="291" t="s">
        <v>106</v>
      </c>
      <c r="C21" s="301">
        <v>614272.5</v>
      </c>
      <c r="D21" s="173">
        <v>6900</v>
      </c>
      <c r="E21" s="174" t="s">
        <v>36</v>
      </c>
      <c r="F21" s="306">
        <f>F20+C21-D48</f>
        <v>267119.72000000009</v>
      </c>
      <c r="G21" s="109"/>
      <c r="H21" s="56"/>
      <c r="I21" s="162"/>
      <c r="J21" s="75"/>
      <c r="K21" s="75"/>
      <c r="L21" s="75"/>
      <c r="M21" s="59"/>
    </row>
    <row r="22" spans="1:13" ht="14.25" customHeight="1" x14ac:dyDescent="0.2">
      <c r="A22" s="304"/>
      <c r="B22" s="292"/>
      <c r="C22" s="302"/>
      <c r="D22" s="171">
        <v>14177.14</v>
      </c>
      <c r="E22" s="130" t="s">
        <v>40</v>
      </c>
      <c r="F22" s="307"/>
      <c r="G22" s="109"/>
      <c r="H22" s="117"/>
      <c r="I22" s="162"/>
      <c r="J22" s="75"/>
      <c r="K22" s="75"/>
      <c r="L22" s="75"/>
      <c r="M22" s="59"/>
    </row>
    <row r="23" spans="1:13" ht="14.25" customHeight="1" x14ac:dyDescent="0.2">
      <c r="A23" s="304"/>
      <c r="B23" s="292"/>
      <c r="C23" s="302"/>
      <c r="D23" s="172">
        <v>11056.25</v>
      </c>
      <c r="E23" s="130" t="s">
        <v>98</v>
      </c>
      <c r="F23" s="307"/>
      <c r="G23" s="109"/>
      <c r="H23" s="117"/>
      <c r="I23" s="162"/>
      <c r="J23" s="75"/>
      <c r="K23" s="75"/>
      <c r="L23" s="75"/>
      <c r="M23" s="59"/>
    </row>
    <row r="24" spans="1:13" ht="14.25" customHeight="1" x14ac:dyDescent="0.2">
      <c r="A24" s="304"/>
      <c r="B24" s="292"/>
      <c r="C24" s="302"/>
      <c r="D24" s="171">
        <v>3280</v>
      </c>
      <c r="E24" s="128" t="s">
        <v>77</v>
      </c>
      <c r="F24" s="307"/>
      <c r="G24" s="109"/>
      <c r="H24" s="56"/>
      <c r="I24" s="162"/>
      <c r="J24" s="75"/>
      <c r="K24" s="75"/>
      <c r="L24" s="75"/>
      <c r="M24" s="59"/>
    </row>
    <row r="25" spans="1:13" ht="14.25" customHeight="1" x14ac:dyDescent="0.2">
      <c r="A25" s="304"/>
      <c r="B25" s="292"/>
      <c r="C25" s="302"/>
      <c r="D25" s="171">
        <v>41237.910000000003</v>
      </c>
      <c r="E25" s="128" t="s">
        <v>72</v>
      </c>
      <c r="F25" s="307"/>
      <c r="G25" s="109"/>
      <c r="H25" s="56"/>
      <c r="I25" s="162"/>
      <c r="J25" s="75"/>
      <c r="K25" s="75"/>
      <c r="L25" s="75"/>
      <c r="M25" s="59"/>
    </row>
    <row r="26" spans="1:13" ht="14.25" customHeight="1" x14ac:dyDescent="0.2">
      <c r="A26" s="304"/>
      <c r="B26" s="292"/>
      <c r="C26" s="302"/>
      <c r="D26" s="171">
        <v>7200</v>
      </c>
      <c r="E26" s="128" t="s">
        <v>71</v>
      </c>
      <c r="F26" s="307"/>
      <c r="G26" s="109"/>
      <c r="H26" s="56"/>
      <c r="I26" s="162"/>
      <c r="J26" s="75"/>
      <c r="K26" s="75"/>
      <c r="L26" s="75"/>
      <c r="M26" s="59"/>
    </row>
    <row r="27" spans="1:13" ht="14.25" customHeight="1" x14ac:dyDescent="0.2">
      <c r="A27" s="304"/>
      <c r="B27" s="292"/>
      <c r="C27" s="302"/>
      <c r="D27" s="171">
        <v>11900</v>
      </c>
      <c r="E27" s="128" t="s">
        <v>100</v>
      </c>
      <c r="F27" s="307"/>
      <c r="G27" s="109"/>
      <c r="H27" s="56"/>
      <c r="I27" s="162"/>
      <c r="J27" s="75"/>
      <c r="K27" s="75"/>
      <c r="L27" s="75"/>
      <c r="M27" s="59"/>
    </row>
    <row r="28" spans="1:13" ht="14.25" customHeight="1" x14ac:dyDescent="0.2">
      <c r="A28" s="304"/>
      <c r="B28" s="292"/>
      <c r="C28" s="302"/>
      <c r="D28" s="171">
        <v>3600</v>
      </c>
      <c r="E28" s="128" t="s">
        <v>101</v>
      </c>
      <c r="F28" s="307"/>
      <c r="G28" s="109"/>
      <c r="H28" s="166"/>
      <c r="I28" s="162"/>
      <c r="J28" s="75"/>
      <c r="K28" s="75"/>
      <c r="L28" s="75"/>
      <c r="M28" s="59"/>
    </row>
    <row r="29" spans="1:13" ht="14.25" customHeight="1" x14ac:dyDescent="0.25">
      <c r="A29" s="304"/>
      <c r="B29" s="292"/>
      <c r="C29" s="302"/>
      <c r="D29" s="170">
        <v>30000</v>
      </c>
      <c r="E29" s="128" t="s">
        <v>43</v>
      </c>
      <c r="F29" s="307"/>
      <c r="G29" s="109"/>
      <c r="H29" s="167"/>
      <c r="I29" s="162"/>
      <c r="J29" s="75"/>
      <c r="K29" s="75"/>
      <c r="L29" s="75"/>
      <c r="M29" s="59"/>
    </row>
    <row r="30" spans="1:13" ht="14.25" customHeight="1" x14ac:dyDescent="0.2">
      <c r="A30" s="304"/>
      <c r="B30" s="292"/>
      <c r="C30" s="302"/>
      <c r="D30" s="171">
        <v>6366</v>
      </c>
      <c r="E30" s="128" t="s">
        <v>95</v>
      </c>
      <c r="F30" s="307"/>
      <c r="G30" s="109"/>
      <c r="H30" s="56"/>
      <c r="I30" s="162"/>
      <c r="J30" s="75"/>
      <c r="K30" s="75"/>
      <c r="L30" s="75"/>
      <c r="M30" s="59"/>
    </row>
    <row r="31" spans="1:13" ht="14.25" customHeight="1" x14ac:dyDescent="0.2">
      <c r="A31" s="304"/>
      <c r="B31" s="292"/>
      <c r="C31" s="302"/>
      <c r="D31" s="171">
        <v>36741.5</v>
      </c>
      <c r="E31" s="128" t="s">
        <v>66</v>
      </c>
      <c r="F31" s="307"/>
      <c r="G31" s="109"/>
      <c r="H31" s="120"/>
      <c r="I31" s="162"/>
      <c r="J31" s="75"/>
      <c r="K31" s="75"/>
      <c r="L31" s="75"/>
      <c r="M31" s="59"/>
    </row>
    <row r="32" spans="1:13" ht="14.25" customHeight="1" x14ac:dyDescent="0.2">
      <c r="A32" s="304"/>
      <c r="B32" s="292"/>
      <c r="C32" s="302"/>
      <c r="D32" s="171">
        <v>10478.5</v>
      </c>
      <c r="E32" s="128" t="s">
        <v>67</v>
      </c>
      <c r="F32" s="307"/>
      <c r="G32" s="109"/>
      <c r="H32" s="56"/>
      <c r="I32" s="162"/>
      <c r="J32" s="75"/>
      <c r="K32" s="75"/>
      <c r="L32" s="75"/>
      <c r="M32" s="59"/>
    </row>
    <row r="33" spans="1:13" ht="14.25" customHeight="1" x14ac:dyDescent="0.2">
      <c r="A33" s="304"/>
      <c r="B33" s="292"/>
      <c r="C33" s="302"/>
      <c r="D33" s="171">
        <v>4130</v>
      </c>
      <c r="E33" s="128" t="s">
        <v>69</v>
      </c>
      <c r="F33" s="307"/>
      <c r="G33" s="109"/>
      <c r="H33" s="56"/>
      <c r="I33" s="162"/>
      <c r="J33" s="75"/>
      <c r="K33" s="75"/>
      <c r="L33" s="75"/>
      <c r="M33" s="59"/>
    </row>
    <row r="34" spans="1:13" ht="14.25" customHeight="1" x14ac:dyDescent="0.2">
      <c r="A34" s="304"/>
      <c r="B34" s="292"/>
      <c r="C34" s="302"/>
      <c r="D34" s="171">
        <v>1300</v>
      </c>
      <c r="E34" s="128" t="s">
        <v>56</v>
      </c>
      <c r="F34" s="307"/>
      <c r="G34" s="109"/>
      <c r="H34" s="117"/>
      <c r="I34" s="162"/>
      <c r="J34" s="75"/>
      <c r="K34" s="75"/>
      <c r="L34" s="75"/>
      <c r="M34" s="59"/>
    </row>
    <row r="35" spans="1:13" ht="14.25" customHeight="1" x14ac:dyDescent="0.25">
      <c r="A35" s="304"/>
      <c r="B35" s="292"/>
      <c r="C35" s="302"/>
      <c r="D35" s="171">
        <v>3369</v>
      </c>
      <c r="E35" s="127" t="s">
        <v>60</v>
      </c>
      <c r="F35" s="307"/>
      <c r="G35" s="109"/>
      <c r="H35" s="117"/>
      <c r="I35" s="162"/>
      <c r="J35" s="75"/>
      <c r="K35" s="75"/>
      <c r="L35" s="75"/>
      <c r="M35" s="59"/>
    </row>
    <row r="36" spans="1:13" ht="14.25" customHeight="1" x14ac:dyDescent="0.2">
      <c r="A36" s="304"/>
      <c r="B36" s="292"/>
      <c r="C36" s="302"/>
      <c r="D36" s="171">
        <v>3925.4</v>
      </c>
      <c r="E36" s="128" t="s">
        <v>70</v>
      </c>
      <c r="F36" s="307"/>
      <c r="G36" s="109"/>
      <c r="H36" s="117"/>
      <c r="I36" s="162"/>
      <c r="J36" s="75"/>
      <c r="K36" s="75"/>
      <c r="L36" s="75"/>
      <c r="M36" s="59"/>
    </row>
    <row r="37" spans="1:13" ht="14.25" customHeight="1" x14ac:dyDescent="0.2">
      <c r="A37" s="304"/>
      <c r="B37" s="292"/>
      <c r="C37" s="302"/>
      <c r="D37" s="171">
        <v>42369.48</v>
      </c>
      <c r="E37" s="128" t="s">
        <v>47</v>
      </c>
      <c r="F37" s="307"/>
      <c r="G37" s="109"/>
      <c r="H37" s="117"/>
      <c r="I37" s="162"/>
      <c r="J37" s="75"/>
      <c r="K37" s="75"/>
      <c r="L37" s="75"/>
      <c r="M37" s="59"/>
    </row>
    <row r="38" spans="1:13" ht="14.25" customHeight="1" x14ac:dyDescent="0.25">
      <c r="A38" s="304"/>
      <c r="B38" s="292"/>
      <c r="C38" s="302"/>
      <c r="D38" s="171">
        <v>186730</v>
      </c>
      <c r="E38" s="128" t="s">
        <v>68</v>
      </c>
      <c r="F38" s="307"/>
      <c r="G38" s="109"/>
      <c r="H38" s="121"/>
      <c r="I38" s="168"/>
      <c r="J38" s="71"/>
      <c r="K38" s="71"/>
      <c r="L38" s="71"/>
      <c r="M38" s="58"/>
    </row>
    <row r="39" spans="1:13" ht="28.5" customHeight="1" x14ac:dyDescent="0.25">
      <c r="A39" s="304"/>
      <c r="B39" s="292"/>
      <c r="C39" s="302"/>
      <c r="D39" s="171">
        <v>22278.48</v>
      </c>
      <c r="E39" s="175" t="s">
        <v>25</v>
      </c>
      <c r="F39" s="307"/>
      <c r="G39" s="109"/>
      <c r="H39" s="169"/>
      <c r="I39" s="164"/>
      <c r="J39" s="71"/>
      <c r="K39" s="71"/>
      <c r="L39" s="71"/>
      <c r="M39" s="58"/>
    </row>
    <row r="40" spans="1:13" ht="14.25" customHeight="1" x14ac:dyDescent="0.2">
      <c r="A40" s="304"/>
      <c r="B40" s="292"/>
      <c r="C40" s="302"/>
      <c r="D40" s="171">
        <v>25613.8</v>
      </c>
      <c r="E40" s="128" t="s">
        <v>102</v>
      </c>
      <c r="F40" s="307"/>
      <c r="G40" s="109"/>
      <c r="H40" s="59"/>
      <c r="I40" s="59"/>
      <c r="J40" s="59"/>
      <c r="K40" s="59"/>
      <c r="L40" s="59"/>
      <c r="M40" s="59"/>
    </row>
    <row r="41" spans="1:13" ht="14.25" customHeight="1" x14ac:dyDescent="0.2">
      <c r="A41" s="304"/>
      <c r="B41" s="292"/>
      <c r="C41" s="302"/>
      <c r="D41" s="171">
        <v>46263.519999999997</v>
      </c>
      <c r="E41" s="128" t="s">
        <v>103</v>
      </c>
      <c r="F41" s="307"/>
      <c r="G41" s="109"/>
      <c r="H41" s="59"/>
      <c r="I41" s="59"/>
      <c r="J41" s="59"/>
      <c r="K41" s="59"/>
      <c r="L41" s="59"/>
      <c r="M41" s="59"/>
    </row>
    <row r="42" spans="1:13" ht="14.25" customHeight="1" x14ac:dyDescent="0.2">
      <c r="A42" s="304"/>
      <c r="B42" s="292"/>
      <c r="C42" s="302"/>
      <c r="D42" s="171">
        <v>11505.35</v>
      </c>
      <c r="E42" s="128" t="s">
        <v>104</v>
      </c>
      <c r="F42" s="307"/>
      <c r="G42" s="109"/>
      <c r="H42" s="59"/>
      <c r="I42" s="59"/>
      <c r="J42" s="59"/>
      <c r="K42" s="59"/>
      <c r="L42" s="59"/>
      <c r="M42" s="59"/>
    </row>
    <row r="43" spans="1:13" ht="14.25" customHeight="1" x14ac:dyDescent="0.2">
      <c r="A43" s="304"/>
      <c r="B43" s="292"/>
      <c r="C43" s="302"/>
      <c r="D43" s="171">
        <v>11400</v>
      </c>
      <c r="E43" s="128" t="s">
        <v>105</v>
      </c>
      <c r="F43" s="307"/>
      <c r="G43" s="109"/>
      <c r="H43" s="59"/>
      <c r="I43" s="59"/>
      <c r="J43" s="59"/>
      <c r="K43" s="59"/>
      <c r="L43" s="59"/>
      <c r="M43" s="59"/>
    </row>
    <row r="44" spans="1:13" ht="14.25" customHeight="1" x14ac:dyDescent="0.2">
      <c r="A44" s="304"/>
      <c r="B44" s="292"/>
      <c r="C44" s="302"/>
      <c r="D44" s="171">
        <f>2695+19946.1</f>
        <v>22641.1</v>
      </c>
      <c r="E44" s="128" t="s">
        <v>96</v>
      </c>
      <c r="F44" s="307"/>
      <c r="G44" s="109"/>
      <c r="H44" s="59"/>
      <c r="I44" s="59"/>
      <c r="J44" s="59"/>
      <c r="K44" s="59"/>
      <c r="L44" s="59"/>
      <c r="M44" s="59"/>
    </row>
    <row r="45" spans="1:13" ht="14.25" customHeight="1" x14ac:dyDescent="0.25">
      <c r="A45" s="304"/>
      <c r="B45" s="292"/>
      <c r="C45" s="302"/>
      <c r="D45" s="171">
        <v>32233.5</v>
      </c>
      <c r="E45" s="127" t="s">
        <v>11</v>
      </c>
      <c r="F45" s="307"/>
      <c r="G45" s="109"/>
      <c r="H45" s="59"/>
      <c r="I45" s="59"/>
      <c r="J45" s="59"/>
      <c r="K45" s="59"/>
      <c r="L45" s="59"/>
      <c r="M45" s="59"/>
    </row>
    <row r="46" spans="1:13" ht="14.25" customHeight="1" x14ac:dyDescent="0.2">
      <c r="A46" s="304"/>
      <c r="B46" s="292"/>
      <c r="C46" s="302"/>
      <c r="D46" s="171">
        <v>18564</v>
      </c>
      <c r="E46" s="128" t="s">
        <v>3</v>
      </c>
      <c r="F46" s="307"/>
      <c r="G46" s="109"/>
      <c r="H46" s="59"/>
      <c r="I46" s="59"/>
      <c r="J46" s="59"/>
      <c r="K46" s="59"/>
      <c r="L46" s="59"/>
      <c r="M46" s="59"/>
    </row>
    <row r="47" spans="1:13" ht="14.25" customHeight="1" thickBot="1" x14ac:dyDescent="0.25">
      <c r="A47" s="305"/>
      <c r="B47" s="293"/>
      <c r="C47" s="303"/>
      <c r="D47" s="171">
        <f>250+9708.09</f>
        <v>9958.09</v>
      </c>
      <c r="E47" s="128" t="s">
        <v>19</v>
      </c>
      <c r="F47" s="308"/>
      <c r="G47" s="109"/>
      <c r="H47" s="59"/>
      <c r="I47" s="59"/>
      <c r="J47" s="59"/>
      <c r="K47" s="59"/>
      <c r="L47" s="59"/>
      <c r="M47" s="59"/>
    </row>
    <row r="48" spans="1:13" ht="16.5" customHeight="1" thickBot="1" x14ac:dyDescent="0.35">
      <c r="A48" s="286" t="s">
        <v>88</v>
      </c>
      <c r="B48" s="287"/>
      <c r="C48" s="176">
        <f>SUM(C21)</f>
        <v>614272.5</v>
      </c>
      <c r="D48" s="158">
        <f>SUM(D21:D47)</f>
        <v>625219.0199999999</v>
      </c>
      <c r="E48" s="94"/>
      <c r="F48" s="177">
        <f>F20+C21-D48</f>
        <v>267119.72000000009</v>
      </c>
      <c r="G48" s="109"/>
      <c r="H48" s="59"/>
      <c r="I48" s="59"/>
      <c r="J48" s="59"/>
      <c r="K48" s="59"/>
      <c r="L48" s="59"/>
      <c r="M48" s="59"/>
    </row>
    <row r="49" spans="1:13" ht="16.5" customHeight="1" thickBot="1" x14ac:dyDescent="0.35">
      <c r="A49" s="286" t="s">
        <v>89</v>
      </c>
      <c r="B49" s="287"/>
      <c r="C49" s="90"/>
      <c r="D49" s="97"/>
      <c r="E49" s="98"/>
      <c r="F49" s="95"/>
      <c r="G49" s="109"/>
      <c r="H49" s="59"/>
      <c r="I49" s="59"/>
      <c r="J49" s="59"/>
      <c r="K49" s="59"/>
      <c r="L49" s="59"/>
      <c r="M49" s="59"/>
    </row>
    <row r="50" spans="1:13" ht="16.5" customHeight="1" thickBot="1" x14ac:dyDescent="0.35">
      <c r="A50" s="297" t="s">
        <v>90</v>
      </c>
      <c r="B50" s="298"/>
      <c r="C50" s="96"/>
      <c r="D50" s="140"/>
      <c r="E50" s="98"/>
      <c r="F50" s="135"/>
      <c r="G50" s="109"/>
      <c r="H50" s="59"/>
      <c r="I50" s="59"/>
      <c r="J50" s="59"/>
      <c r="K50" s="59"/>
      <c r="L50" s="59"/>
      <c r="M50" s="59"/>
    </row>
    <row r="51" spans="1:13" ht="16.5" customHeight="1" thickBot="1" x14ac:dyDescent="0.3">
      <c r="A51" s="299" t="s">
        <v>91</v>
      </c>
      <c r="B51" s="300"/>
      <c r="C51" s="154">
        <f>C20+C48</f>
        <v>946195.25</v>
      </c>
      <c r="D51" s="155">
        <f>D20+D48</f>
        <v>833152.15999999992</v>
      </c>
      <c r="E51" s="156"/>
      <c r="F51" s="157"/>
      <c r="G51" s="109"/>
      <c r="H51" s="59"/>
      <c r="I51" s="59"/>
      <c r="J51" s="59"/>
      <c r="K51" s="59"/>
      <c r="L51" s="59"/>
      <c r="M51" s="59"/>
    </row>
    <row r="52" spans="1:13" ht="16.5" customHeight="1" thickBot="1" x14ac:dyDescent="0.35">
      <c r="A52" s="106"/>
      <c r="B52" s="143"/>
      <c r="C52" s="144"/>
      <c r="D52" s="100" t="s">
        <v>107</v>
      </c>
      <c r="E52" s="278">
        <f>E4+C51-D51</f>
        <v>267119.71999999997</v>
      </c>
      <c r="F52" s="279"/>
      <c r="H52" s="59"/>
      <c r="I52" s="59"/>
      <c r="J52" s="59"/>
      <c r="K52" s="59"/>
      <c r="L52" s="59"/>
      <c r="M52" s="59"/>
    </row>
    <row r="53" spans="1:13" ht="22.5" customHeight="1" x14ac:dyDescent="0.3">
      <c r="B53" s="136" t="s">
        <v>93</v>
      </c>
      <c r="C53" s="137"/>
      <c r="D53" s="138"/>
      <c r="E53" s="139" t="s">
        <v>24</v>
      </c>
      <c r="H53" s="59"/>
      <c r="I53" s="59"/>
      <c r="J53" s="59"/>
      <c r="K53" s="59"/>
      <c r="L53" s="59"/>
      <c r="M53" s="59"/>
    </row>
    <row r="54" spans="1:13" ht="18.75" x14ac:dyDescent="0.3">
      <c r="B54" s="103" t="s">
        <v>94</v>
      </c>
      <c r="C54" s="104"/>
      <c r="D54" s="145"/>
      <c r="E54" s="105" t="s">
        <v>8</v>
      </c>
      <c r="H54" s="59"/>
      <c r="I54" s="59"/>
      <c r="J54" s="59"/>
      <c r="K54" s="59"/>
      <c r="L54" s="59"/>
      <c r="M54" s="59"/>
    </row>
    <row r="55" spans="1:13" x14ac:dyDescent="0.2">
      <c r="H55" s="59"/>
      <c r="I55" s="59"/>
      <c r="J55" s="59"/>
      <c r="K55" s="59"/>
      <c r="L55" s="59"/>
      <c r="M55" s="59"/>
    </row>
    <row r="56" spans="1:13" x14ac:dyDescent="0.2">
      <c r="H56" s="59"/>
      <c r="I56" s="59"/>
      <c r="J56" s="59"/>
      <c r="K56" s="59"/>
      <c r="L56" s="59"/>
      <c r="M56" s="59"/>
    </row>
    <row r="57" spans="1:13" x14ac:dyDescent="0.2">
      <c r="H57" s="59"/>
      <c r="I57" s="59"/>
      <c r="J57" s="59"/>
      <c r="K57" s="59"/>
      <c r="L57" s="59"/>
      <c r="M57" s="59"/>
    </row>
    <row r="58" spans="1:13" ht="15" customHeight="1" x14ac:dyDescent="0.2">
      <c r="H58" s="59"/>
      <c r="I58" s="59"/>
      <c r="J58" s="59"/>
      <c r="K58" s="59"/>
      <c r="L58" s="59"/>
      <c r="M58" s="59"/>
    </row>
    <row r="59" spans="1:13" ht="15" customHeight="1" x14ac:dyDescent="0.2">
      <c r="H59" s="59"/>
      <c r="I59" s="59"/>
      <c r="J59" s="59"/>
      <c r="K59" s="59"/>
      <c r="L59" s="59"/>
      <c r="M59" s="59"/>
    </row>
    <row r="60" spans="1:13" ht="15" customHeight="1" x14ac:dyDescent="0.2">
      <c r="H60" s="59"/>
      <c r="I60" s="59"/>
      <c r="J60" s="59"/>
      <c r="K60" s="59"/>
      <c r="L60" s="59"/>
      <c r="M60" s="59"/>
    </row>
    <row r="61" spans="1:13" x14ac:dyDescent="0.2">
      <c r="H61" s="59"/>
      <c r="I61" s="59"/>
      <c r="J61" s="59"/>
      <c r="K61" s="59"/>
      <c r="L61" s="59"/>
      <c r="M61" s="59"/>
    </row>
    <row r="62" spans="1:13" ht="15" customHeight="1" x14ac:dyDescent="0.2">
      <c r="H62" s="59"/>
      <c r="I62" s="59"/>
      <c r="J62" s="59"/>
      <c r="K62" s="59"/>
      <c r="L62" s="59"/>
      <c r="M62" s="59"/>
    </row>
    <row r="63" spans="1:13" ht="15" customHeight="1" x14ac:dyDescent="0.2">
      <c r="H63" s="59"/>
      <c r="I63" s="59"/>
      <c r="J63" s="59"/>
      <c r="K63" s="59"/>
      <c r="L63" s="59"/>
      <c r="M63" s="59"/>
    </row>
    <row r="64" spans="1:13" ht="15" customHeight="1" x14ac:dyDescent="0.2">
      <c r="H64" s="59"/>
      <c r="I64" s="59"/>
      <c r="J64" s="59"/>
      <c r="K64" s="59"/>
      <c r="L64" s="59"/>
      <c r="M64" s="59"/>
    </row>
    <row r="65" spans="8:13" x14ac:dyDescent="0.2">
      <c r="H65" s="59"/>
      <c r="I65" s="59"/>
      <c r="J65" s="59"/>
      <c r="K65" s="59"/>
      <c r="L65" s="59"/>
      <c r="M65" s="59"/>
    </row>
    <row r="66" spans="8:13" x14ac:dyDescent="0.2">
      <c r="H66" s="59"/>
      <c r="I66" s="59"/>
      <c r="J66" s="59"/>
      <c r="K66" s="59"/>
      <c r="L66" s="59"/>
      <c r="M66" s="59"/>
    </row>
    <row r="67" spans="8:13" x14ac:dyDescent="0.2">
      <c r="H67" s="59"/>
      <c r="I67" s="59"/>
      <c r="J67" s="59"/>
      <c r="K67" s="59"/>
      <c r="L67" s="59"/>
      <c r="M67" s="59"/>
    </row>
    <row r="68" spans="8:13" x14ac:dyDescent="0.2">
      <c r="H68" s="59"/>
      <c r="I68" s="59"/>
      <c r="J68" s="59"/>
      <c r="K68" s="59"/>
      <c r="L68" s="59"/>
      <c r="M68" s="59"/>
    </row>
    <row r="69" spans="8:13" x14ac:dyDescent="0.2">
      <c r="H69" s="59"/>
      <c r="I69" s="59"/>
      <c r="J69" s="59"/>
      <c r="K69" s="59"/>
      <c r="L69" s="59"/>
      <c r="M69" s="59"/>
    </row>
    <row r="70" spans="8:13" x14ac:dyDescent="0.2">
      <c r="H70" s="59"/>
      <c r="I70" s="59"/>
      <c r="J70" s="59"/>
      <c r="K70" s="59"/>
      <c r="L70" s="59"/>
      <c r="M70" s="59"/>
    </row>
    <row r="71" spans="8:13" x14ac:dyDescent="0.2">
      <c r="H71" s="59"/>
      <c r="I71" s="59"/>
      <c r="J71" s="59"/>
      <c r="K71" s="59"/>
      <c r="L71" s="59"/>
      <c r="M71" s="59"/>
    </row>
    <row r="72" spans="8:13" x14ac:dyDescent="0.2">
      <c r="H72" s="59"/>
      <c r="I72" s="59"/>
      <c r="J72" s="59"/>
      <c r="K72" s="59"/>
      <c r="L72" s="59"/>
      <c r="M72" s="59"/>
    </row>
    <row r="73" spans="8:13" x14ac:dyDescent="0.2">
      <c r="H73" s="59"/>
      <c r="I73" s="59"/>
      <c r="J73" s="59"/>
      <c r="K73" s="59"/>
      <c r="L73" s="59"/>
      <c r="M73" s="59"/>
    </row>
    <row r="74" spans="8:13" x14ac:dyDescent="0.2">
      <c r="H74" s="59"/>
      <c r="I74" s="59"/>
      <c r="J74" s="59"/>
      <c r="K74" s="59"/>
      <c r="L74" s="59"/>
      <c r="M74" s="59"/>
    </row>
    <row r="78" spans="8:13" ht="15" customHeight="1" x14ac:dyDescent="0.2"/>
    <row r="79" spans="8:13" ht="15" customHeight="1" x14ac:dyDescent="0.2"/>
    <row r="80" spans="8:13" ht="15" customHeight="1" x14ac:dyDescent="0.2"/>
    <row r="81" ht="15" customHeight="1" x14ac:dyDescent="0.2"/>
  </sheetData>
  <mergeCells count="20">
    <mergeCell ref="F5:F19"/>
    <mergeCell ref="K2:K4"/>
    <mergeCell ref="L2:L4"/>
    <mergeCell ref="J2:J4"/>
    <mergeCell ref="A1:E1"/>
    <mergeCell ref="A50:B50"/>
    <mergeCell ref="A51:B51"/>
    <mergeCell ref="E52:F52"/>
    <mergeCell ref="C21:C47"/>
    <mergeCell ref="A21:A47"/>
    <mergeCell ref="B21:B47"/>
    <mergeCell ref="F21:F47"/>
    <mergeCell ref="A20:B20"/>
    <mergeCell ref="A48:B48"/>
    <mergeCell ref="A49:B49"/>
    <mergeCell ref="A2:E2"/>
    <mergeCell ref="A4:D4"/>
    <mergeCell ref="A5:A19"/>
    <mergeCell ref="B5:B19"/>
    <mergeCell ref="C5:C19"/>
  </mergeCells>
  <pageMargins left="0.70866141732283472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за 2018г</vt:lpstr>
      <vt:lpstr>1 кв</vt:lpstr>
      <vt:lpstr>2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Best</cp:lastModifiedBy>
  <cp:lastPrinted>2019-01-07T15:24:43Z</cp:lastPrinted>
  <dcterms:created xsi:type="dcterms:W3CDTF">2006-01-13T03:28:48Z</dcterms:created>
  <dcterms:modified xsi:type="dcterms:W3CDTF">2021-10-03T15:05:13Z</dcterms:modified>
</cp:coreProperties>
</file>